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2MNqlKdUNnNo8XXBDW+Gs30HEfgtXOAYQBMoy1ASfpVFKvQgE2x0CTd0QM6n7Dd8wiay0/RWoUQogj1TLtxAxQ==" workbookSaltValue="TgkWxbORG8RUDBwWPSWxD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AV18" i="21"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L13" i="8"/>
  <c r="K13" i="8"/>
  <c r="J13" i="8"/>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R11" i="14" s="1"/>
  <c r="P10" i="14"/>
  <c r="P9" i="14"/>
  <c r="O17" i="14"/>
  <c r="O16" i="14"/>
  <c r="O15" i="14"/>
  <c r="O12" i="14"/>
  <c r="O11" i="14"/>
  <c r="O10" i="14"/>
  <c r="O9" i="14"/>
  <c r="AZ9" i="8"/>
  <c r="BB16" i="8"/>
  <c r="BA16" i="8"/>
  <c r="AZ16" i="8"/>
  <c r="AY16" i="8"/>
  <c r="BB15" i="8"/>
  <c r="BA15" i="8"/>
  <c r="AZ15" i="8"/>
  <c r="AY15" i="8"/>
  <c r="BB12" i="8"/>
  <c r="BA12" i="8"/>
  <c r="AZ12" i="8"/>
  <c r="BG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G10" i="8" s="1"/>
  <c r="BA10" i="8"/>
  <c r="BB10" i="8"/>
  <c r="BC10" i="8"/>
  <c r="BC11" i="8"/>
  <c r="BF11" i="8" s="1"/>
  <c r="BC12" i="8"/>
  <c r="BC15" i="8"/>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D11" i="13"/>
  <c r="BF17" i="8"/>
  <c r="B13" i="7"/>
  <c r="E18" i="12"/>
  <c r="EL19" i="8"/>
  <c r="AP12" i="11"/>
  <c r="EN19" i="8"/>
  <c r="F12" i="21"/>
  <c r="G10" i="3"/>
  <c r="G12" i="12"/>
  <c r="BA13" i="16"/>
  <c r="AP10" i="11"/>
  <c r="Y12" i="11"/>
  <c r="T10" i="21"/>
  <c r="ES19" i="8"/>
  <c r="C18" i="7"/>
  <c r="R8" i="9"/>
  <c r="X12" i="21" s="1"/>
  <c r="BM19" i="8"/>
  <c r="AL13" i="16"/>
  <c r="BJ17" i="11"/>
  <c r="V11" i="16"/>
  <c r="BL12" i="11"/>
  <c r="S13" i="16"/>
  <c r="V12" i="21"/>
  <c r="P13" i="16"/>
  <c r="AM13" i="20"/>
  <c r="Z13" i="17"/>
  <c r="M18" i="2"/>
  <c r="F13" i="7"/>
  <c r="BI10" i="11"/>
  <c r="BJ11" i="11"/>
  <c r="BG15" i="11"/>
  <c r="T15" i="16"/>
  <c r="BV12" i="16"/>
  <c r="U10" i="17"/>
  <c r="S12" i="14"/>
  <c r="V12" i="14" s="1"/>
  <c r="BG12" i="11"/>
  <c r="BL15" i="11"/>
  <c r="Q15" i="17"/>
  <c r="BF15" i="11"/>
  <c r="BM9" i="11"/>
  <c r="BK10" i="11"/>
  <c r="BD9" i="8"/>
  <c r="BA13" i="8"/>
  <c r="E13" i="17"/>
  <c r="L15" i="2"/>
  <c r="X10" i="21"/>
  <c r="L9" i="2"/>
  <c r="T13" i="20"/>
  <c r="T13" i="16"/>
  <c r="AP13" i="16"/>
  <c r="AA9" i="16"/>
  <c r="BG15" i="13"/>
  <c r="BE16" i="13"/>
  <c r="F20" i="20"/>
  <c r="AE20" i="20"/>
  <c r="L20" i="20"/>
  <c r="AP20" i="20"/>
  <c r="AF20" i="20"/>
  <c r="O20" i="20"/>
  <c r="Q20" i="20"/>
  <c r="AG20" i="20"/>
  <c r="O16" i="11"/>
  <c r="AQ20" i="21"/>
  <c r="G18" i="14"/>
  <c r="Z20" i="20"/>
  <c r="AM20" i="20"/>
  <c r="AK20" i="20"/>
  <c r="AB20" i="20"/>
  <c r="E20" i="20"/>
  <c r="P20" i="20"/>
  <c r="W20" i="21"/>
  <c r="R20" i="20"/>
  <c r="O10" i="11"/>
  <c r="J20" i="20"/>
  <c r="M20" i="20"/>
  <c r="AH20" i="20"/>
  <c r="T20" i="21"/>
  <c r="I20" i="20"/>
  <c r="AJ20" i="20"/>
  <c r="W20" i="20"/>
  <c r="AO20" i="20"/>
  <c r="AU20" i="20"/>
  <c r="Y20" i="20"/>
  <c r="AV20" i="20"/>
  <c r="AQ20" i="20"/>
  <c r="BD15" i="8" l="1"/>
  <c r="BM18" i="16"/>
  <c r="G18" i="12"/>
  <c r="L19" i="8"/>
  <c r="BF15" i="8"/>
  <c r="I19" i="8"/>
  <c r="AC10" i="11"/>
  <c r="H13" i="12"/>
  <c r="C13" i="7"/>
  <c r="Q19" i="8"/>
  <c r="BF9" i="8"/>
  <c r="BG9" i="8"/>
  <c r="C11" i="6"/>
  <c r="AN12" i="11"/>
  <c r="D10" i="6"/>
  <c r="K9" i="7"/>
  <c r="E9" i="6"/>
  <c r="J10" i="2"/>
  <c r="AO17" i="11"/>
  <c r="B17" i="6"/>
  <c r="AO15" i="11"/>
  <c r="AL16" i="11"/>
  <c r="V9" i="16"/>
  <c r="U9" i="17"/>
  <c r="U19" i="17" s="1"/>
  <c r="L16" i="2"/>
  <c r="L10" i="2"/>
  <c r="BH12" i="16"/>
  <c r="S17" i="17"/>
  <c r="BM17" i="11"/>
  <c r="BH10" i="16"/>
  <c r="BL10" i="11"/>
  <c r="BH10" i="11"/>
  <c r="S11" i="14"/>
  <c r="V11" i="14" s="1"/>
  <c r="BU16" i="17"/>
  <c r="BV11" i="16"/>
  <c r="BV17" i="16"/>
  <c r="BK17" i="11"/>
  <c r="BJ12" i="11"/>
  <c r="S16" i="14"/>
  <c r="V16" i="14" s="1"/>
  <c r="S9" i="17"/>
  <c r="AO9" i="11"/>
  <c r="BF16" i="11"/>
  <c r="BH15" i="16"/>
  <c r="BH9" i="16"/>
  <c r="F15" i="16"/>
  <c r="BL15" i="16" s="1"/>
  <c r="BE12" i="21"/>
  <c r="BE9" i="13"/>
  <c r="AL9" i="11"/>
  <c r="E11" i="6"/>
  <c r="AA11" i="16"/>
  <c r="X15" i="16"/>
  <c r="X18" i="16" s="1"/>
  <c r="L17" i="2"/>
  <c r="L12" i="2"/>
  <c r="S16" i="17"/>
  <c r="S15" i="17"/>
  <c r="AA10" i="16"/>
  <c r="BL16" i="11"/>
  <c r="BJ16" i="11"/>
  <c r="AQ12" i="21"/>
  <c r="BH16" i="11"/>
  <c r="T11" i="11"/>
  <c r="BG16" i="11"/>
  <c r="BH11" i="11"/>
  <c r="BK16" i="11"/>
  <c r="BJ10" i="11"/>
  <c r="T12" i="11"/>
  <c r="AQ10" i="21"/>
  <c r="BI9" i="11"/>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BF12" i="11"/>
  <c r="P15" i="17"/>
  <c r="S15" i="16"/>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K13" i="11" s="1"/>
  <c r="BF10" i="11"/>
  <c r="BK12" i="11"/>
  <c r="BL17" i="11"/>
  <c r="P17" i="17"/>
  <c r="P18" i="17" s="1"/>
  <c r="P19" i="17" s="1"/>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AQ11" i="11" s="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I10" i="7"/>
  <c r="T18" i="12"/>
  <c r="AJ19" i="8"/>
  <c r="AL19" i="8"/>
  <c r="G17" i="3"/>
  <c r="G15" i="3"/>
  <c r="G13" i="2"/>
  <c r="K12" i="7"/>
  <c r="S19" i="16"/>
  <c r="AM12" i="11"/>
  <c r="E13" i="2"/>
  <c r="F13" i="2" s="1"/>
  <c r="F10" i="2"/>
  <c r="AN10" i="11"/>
  <c r="D16" i="6"/>
  <c r="E12" i="3"/>
  <c r="E16" i="3"/>
  <c r="AL10" i="11"/>
  <c r="H18" i="3"/>
  <c r="I18" i="3" s="1"/>
  <c r="AH19" i="8"/>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U16" i="11"/>
  <c r="K20" i="20"/>
  <c r="U12" i="11"/>
  <c r="AN20" i="20"/>
  <c r="S20" i="20"/>
  <c r="N20" i="20"/>
  <c r="AD20" i="20"/>
  <c r="AZ20" i="20"/>
  <c r="G13" i="14"/>
  <c r="AA20" i="20"/>
  <c r="I11" i="12" l="1"/>
  <c r="K9" i="12"/>
  <c r="I15"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AO20" i="11"/>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<sst xmlns="http://schemas.openxmlformats.org/spreadsheetml/2006/main" count="2080" uniqueCount="913">
  <si>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</si>
  <si>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</si>
  <si>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</si>
  <si>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</si>
  <si>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</si>
  <si>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</si>
  <si>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</si>
  <si>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</si>
  <si>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</si>
  <si>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</si>
  <si>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</si>
  <si>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</si>
  <si>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</si>
  <si>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</si>
  <si>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</si>
  <si>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</si>
  <si>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</si>
  <si>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</si>
  <si>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</si>
  <si>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</si>
  <si>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</si>
  <si>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</si>
  <si>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</si>
  <si>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</si>
  <si>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</si>
  <si>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</si>
  <si>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</si>
  <si>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</si>
  <si>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</si>
  <si>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</si>
  <si>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</si>
  <si>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</si>
  <si>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</si>
  <si>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</si>
  <si>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</si>
  <si>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</si>
  <si>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</si>
  <si>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</si>
  <si>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</si>
  <si>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</si>
  <si>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</si>
  <si>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</si>
  <si>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</si>
  <si>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</si>
  <si>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</si>
  <si>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</si>
  <si>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</si>
  <si>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</si>
  <si>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</si>
  <si>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</si>
  <si>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</si>
  <si>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</si>
  <si>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</si>
  <si>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</si>
  <si>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</si>
  <si>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</si>
  <si>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</si>
  <si>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</si>
  <si>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</si>
  <si>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</si>
  <si>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</si>
  <si>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</si>
  <si>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</si>
  <si>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</si>
  <si>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</si>
  <si>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</si>
  <si>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</si>
  <si>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</si>
  <si>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</si>
  <si>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</si>
  <si>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</si>
  <si>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</si>
  <si>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</si>
  <si>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</si>
  <si>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</si>
  <si>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</si>
  <si>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</si>
  <si>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</si>
  <si>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</si>
  <si>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</si>
  <si>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</si>
  <si>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</si>
  <si>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</si>
  <si>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</si>
  <si>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</si>
  <si>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</si>
  <si>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</si>
  <si>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</si>
  <si>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</si>
  <si>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</si>
  <si>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</si>
  <si>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</si>
  <si>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</si>
  <si>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</si>
  <si>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</si>
  <si>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</si>
  <si>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</si>
  <si>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</si>
  <si>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</si>
  <si>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</si>
  <si>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</si>
  <si>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</si>
  <si>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</si>
  <si>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</si>
  <si>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</si>
  <si>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</si>
  <si>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</si>
  <si>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</si>
  <si>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</si>
  <si>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</si>
  <si>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</si>
  <si>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</si>
  <si>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</si>
  <si>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</si>
  <si>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</si>
  <si>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</si>
  <si>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</si>
  <si>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</si>
  <si>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</si>
  <si>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</si>
  <si>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</si>
  <si>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</si>
  <si>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</si>
  <si>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</si>
  <si>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</si>
  <si>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</si>
  <si>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</si>
  <si>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</si>
  <si>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</si>
  <si>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</si>
  <si>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</si>
  <si>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</si>
  <si>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</si>
  <si>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</si>
  <si>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</si>
  <si>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</si>
  <si>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</si>
  <si>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</si>
  <si>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</si>
  <si>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</si>
  <si>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</si>
  <si>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</si>
  <si>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</si>
  <si>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</si>
  <si>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</si>
  <si>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</si>
  <si>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</si>
  <si>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</si>
  <si>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</si>
  <si>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</si>
  <si>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</si>
  <si>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</si>
  <si>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</si>
  <si>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</si>
  <si>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</si>
  <si>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</si>
  <si>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</si>
  <si>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</si>
  <si>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</si>
  <si>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</si>
  <si>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</si>
  <si>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</si>
  <si>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</si>
  <si>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</si>
  <si>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</si>
  <si>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</si>
  <si>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</si>
  <si>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</si>
  <si>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</si>
  <si>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</si>
  <si>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</si>
  <si>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</si>
  <si>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</si>
  <si>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</si>
  <si>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</si>
  <si>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</si>
  <si>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</si>
  <si>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</si>
  <si>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</si>
  <si>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</si>
  <si>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</si>
  <si>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</si>
  <si>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</si>
  <si>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</si>
  <si>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</si>
  <si>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</si>
  <si>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</si>
  <si>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</si>
  <si>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</si>
  <si>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</si>
  <si>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</si>
  <si>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</si>
  <si>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</si>
  <si>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</si>
  <si>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</si>
  <si>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</si>
  <si>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</si>
  <si>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</si>
  <si>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</si>
  <si>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</si>
  <si>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</si>
  <si>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</si>
  <si>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</si>
  <si>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</si>
  <si>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</si>
  <si>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</si>
  <si>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</si>
  <si>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</si>
  <si>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</si>
  <si>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</si>
  <si>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</si>
  <si>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</si>
  <si>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</si>
  <si>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</si>
  <si>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</si>
  <si>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</si>
  <si>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</si>
  <si>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</si>
  <si>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</si>
  <si>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</si>
  <si>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</si>
  <si>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</si>
  <si>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</si>
  <si>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</si>
  <si>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</si>
  <si>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</si>
  <si>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</si>
  <si>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</si>
  <si>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</si>
  <si>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</si>
  <si>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</si>
  <si>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</si>
  <si>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</si>
  <si>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</si>
  <si>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</si>
  <si>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</si>
  <si>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</si>
  <si>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</si>
  <si>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</si>
  <si>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</si>
  <si>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</si>
  <si>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</si>
  <si>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</si>
  <si>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</si>
  <si>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</si>
  <si>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</si>
  <si>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</si>
  <si>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</si>
  <si>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</si>
  <si>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</si>
  <si>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</si>
  <si>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</si>
  <si>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</si>
  <si>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</si>
  <si>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</si>
  <si>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</si>
  <si>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</si>
  <si>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</si>
  <si>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</si>
  <si>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</si>
  <si>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</si>
  <si>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</si>
  <si>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</si>
  <si>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</si>
  <si>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</si>
  <si>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</si>
  <si>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</si>
  <si>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</si>
  <si>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</si>
  <si>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</si>
  <si>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</si>
  <si>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</si>
  <si>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</si>
  <si>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</si>
  <si>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</si>
  <si>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</si>
  <si>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</si>
  <si>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</si>
  <si>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</si>
  <si>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</si>
  <si>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</si>
  <si>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</si>
  <si>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</si>
  <si>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</si>
  <si>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</si>
  <si>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</si>
  <si>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</si>
  <si>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</si>
  <si>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</si>
  <si>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</si>
  <si>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</si>
  <si>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</si>
  <si>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</si>
  <si>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</si>
  <si>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</si>
  <si>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</si>
  <si>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</si>
  <si>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</si>
  <si>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</si>
  <si>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</si>
  <si>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</si>
  <si>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</si>
  <si>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</si>
  <si>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</si>
  <si>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</si>
  <si>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</si>
  <si>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</si>
  <si>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</si>
  <si>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</si>
  <si>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</si>
  <si>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</si>
  <si>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</si>
  <si>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</si>
  <si>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</si>
  <si>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</si>
  <si>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</si>
  <si>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</si>
  <si>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</si>
  <si>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</si>
  <si>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</si>
  <si>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</si>
  <si>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</si>
  <si>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</si>
  <si>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</si>
  <si>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</si>
  <si>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</si>
  <si>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</si>
  <si>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</si>
  <si>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</si>
  <si>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</si>
  <si>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</si>
  <si>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</si>
  <si>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</si>
  <si>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</si>
  <si>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</si>
  <si>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</si>
  <si>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</si>
  <si>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</si>
  <si>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</si>
  <si>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</si>
  <si>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</si>
  <si>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</si>
  <si>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</si>
  <si>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</si>
  <si>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</si>
  <si>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</si>
  <si>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</si>
  <si>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</si>
  <si>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</si>
  <si>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</si>
  <si>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</si>
  <si>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</si>
  <si>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</si>
  <si>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</si>
  <si>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</si>
  <si>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</si>
  <si>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</si>
  <si>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</si>
  <si>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</si>
  <si>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</si>
  <si>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</si>
  <si>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</si>
  <si>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</si>
  <si>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</si>
  <si>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</si>
  <si>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</si>
  <si>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</si>
  <si>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</si>
  <si>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</si>
  <si>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</si>
  <si>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</si>
  <si>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</si>
  <si>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</si>
  <si>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</si>
  <si>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</si>
  <si>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</si>
  <si>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</si>
  <si>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</si>
  <si>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</si>
  <si>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</si>
  <si>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</si>
  <si>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</si>
  <si>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</si>
  <si>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</si>
  <si>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</si>
  <si>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</si>
  <si>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</si>
  <si>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</si>
  <si>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</si>
  <si>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</si>
  <si>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</si>
  <si>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</si>
  <si>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</si>
  <si>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</si>
  <si>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</si>
  <si>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</si>
  <si>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</si>
  <si>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</si>
  <si>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</si>
  <si>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</si>
  <si>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</si>
  <si>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</si>
  <si>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</si>
  <si>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</si>
  <si>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</si>
  <si>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</si>
  <si>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</si>
  <si>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</si>
  <si>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</si>
  <si>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</si>
  <si>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</si>
  <si>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</si>
  <si>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</si>
  <si>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</si>
  <si>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</si>
  <si>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</si>
  <si>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</si>
  <si>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</si>
  <si>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</si>
  <si>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</si>
  <si>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</si>
  <si>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</si>
  <si>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</si>
  <si>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</si>
  <si>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</si>
  <si>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</si>
  <si>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</si>
  <si>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</si>
  <si>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</si>
  <si>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</si>
  <si>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</si>
  <si>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</si>
  <si>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</si>
  <si>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</si>
  <si>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</si>
  <si>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</si>
  <si>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</si>
  <si>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</si>
  <si>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</si>
  <si>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</si>
  <si>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</si>
  <si>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</si>
  <si>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</si>
  <si>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</si>
  <si>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</si>
  <si>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</si>
  <si>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</si>
  <si>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</si>
  <si>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</si>
  <si>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</si>
  <si>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</si>
  <si>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</si>
  <si>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</si>
  <si>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</si>
  <si>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</si>
  <si>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</si>
  <si>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</si>
  <si>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</si>
  <si>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</si>
  <si>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</si>
  <si>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</si>
  <si>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</si>
  <si>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</si>
  <si>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</si>
  <si>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</si>
  <si>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</si>
  <si>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</si>
  <si>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</si>
  <si>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</si>
  <si>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</si>
  <si>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</si>
  <si>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</si>
  <si>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</si>
  <si>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</si>
  <si>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</si>
  <si>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</si>
  <si>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</si>
  <si>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</si>
  <si>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</si>
  <si>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</si>
  <si>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</si>
  <si>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</si>
  <si>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</si>
  <si>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</si>
  <si>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</si>
  <si>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</si>
  <si>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</si>
  <si>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</si>
  <si>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</si>
  <si>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</si>
  <si>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</si>
  <si>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</si>
  <si>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</si>
  <si>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</si>
  <si>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</si>
  <si>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</si>
  <si>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</si>
  <si>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</si>
  <si>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</si>
  <si>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</si>
  <si>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</si>
  <si>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</si>
  <si>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</si>
  <si>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</si>
  <si>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</si>
  <si>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</si>
  <si>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</si>
  <si>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</si>
  <si>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</si>
  <si>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</si>
  <si>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</si>
  <si>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</si>
  <si>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</si>
  <si>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</si>
  <si>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</si>
  <si>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</si>
  <si>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</si>
  <si>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</si>
  <si>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</si>
  <si>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</si>
  <si>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</si>
  <si>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</si>
  <si>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</si>
  <si>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</si>
  <si>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</si>
  <si>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</si>
  <si>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</si>
  <si>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</si>
  <si>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</si>
  <si>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</si>
  <si>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</si>
  <si>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</si>
  <si>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</si>
  <si>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</si>
  <si>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</si>
  <si>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</si>
  <si>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</si>
  <si>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</si>
  <si>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</si>
  <si>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</si>
  <si>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</si>
  <si>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</si>
  <si>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</si>
  <si>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</si>
  <si>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</si>
  <si>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</si>
  <si>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</si>
  <si>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</si>
  <si>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</si>
  <si>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</si>
  <si>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</si>
  <si>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</si>
  <si>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</si>
  <si>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</si>
  <si>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</si>
  <si>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</si>
  <si>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</si>
  <si>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</si>
  <si>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</si>
  <si>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</si>
  <si>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</si>
  <si>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</si>
  <si>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</si>
  <si>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</si>
  <si>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</si>
  <si>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</si>
  <si>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</si>
  <si>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</si>
  <si>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</si>
  <si>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</si>
  <si>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</si>
  <si>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</si>
  <si>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</si>
  <si>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</si>
  <si>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</si>
  <si>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</si>
  <si>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</si>
  <si>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</si>
  <si>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</si>
  <si>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</si>
  <si>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</si>
  <si>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</si>
  <si>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</si>
  <si>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</si>
  <si>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</si>
  <si>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</si>
  <si>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</si>
  <si>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</si>
  <si>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</si>
  <si>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</si>
  <si>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</si>
  <si>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</si>
  <si>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</si>
  <si>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</si>
  <si>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</si>
  <si>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</si>
  <si>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</si>
  <si>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</si>
  <si>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</si>
  <si>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</si>
  <si>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</si>
  <si>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</si>
  <si>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</si>
  <si>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</si>
  <si>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</si>
  <si>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</si>
  <si>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</si>
  <si>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</si>
  <si>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</si>
  <si>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</si>
  <si>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</si>
  <si>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</si>
  <si>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</si>
  <si>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</si>
  <si>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</si>
  <si>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</si>
  <si>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</si>
  <si>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</si>
  <si>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</si>
  <si>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</si>
  <si>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</si>
  <si>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</si>
  <si>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</si>
  <si>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</si>
  <si>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</si>
  <si>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</si>
  <si>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</si>
  <si>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</si>
  <si>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</si>
  <si>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</si>
  <si>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</si>
  <si>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</si>
  <si>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</si>
  <si>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</si>
  <si>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</si>
  <si>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</si>
  <si>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</si>
  <si>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</si>
  <si>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</si>
  <si>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</si>
  <si>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</si>
  <si>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</si>
  <si>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</si>
  <si>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</si>
  <si>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</si>
  <si>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</si>
  <si>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</si>
  <si>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</si>
  <si>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</si>
  <si>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</si>
  <si>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</si>
  <si>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</si>
  <si>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</si>
  <si>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</si>
  <si>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</si>
  <si>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</si>
  <si>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</si>
  <si>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</si>
  <si>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</si>
  <si>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</si>
  <si>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</si>
  <si>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</si>
  <si>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</si>
  <si>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</si>
  <si>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</si>
  <si>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</si>
  <si>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</si>
  <si>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</si>
  <si>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</si>
  <si>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</si>
  <si>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</si>
  <si>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</si>
  <si>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</si>
  <si>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</si>
  <si>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</si>
  <si>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</si>
  <si>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</si>
  <si>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</si>
  <si>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</si>
  <si>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</si>
  <si>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</si>
  <si>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</si>
  <si>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</si>
  <si>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</si>
  <si>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</si>
  <si>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</si>
  <si>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</si>
  <si>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</si>
  <si>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</si>
  <si>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</si>
  <si>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</si>
  <si>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</si>
  <si>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</si>
  <si>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</si>
  <si>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</si>
  <si>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</si>
  <si>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</si>
  <si>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</si>
  <si>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</si>
  <si>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</si>
  <si>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</si>
  <si>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</si>
  <si>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</si>
  <si>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</si>
  <si>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</si>
  <si>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</si>
  <si>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</si>
  <si>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</si>
  <si>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</si>
  <si>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</si>
  <si>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</si>
  <si>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</si>
  <si>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</si>
  <si>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</si>
  <si>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</si>
  <si>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</si>
  <si>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</si>
  <si>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</si>
  <si>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</si>
  <si>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</si>
  <si>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</si>
  <si>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</si>
  <si>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</si>
  <si>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</si>
  <si>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</si>
  <si>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</si>
  <si>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</si>
  <si>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</si>
  <si>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</si>
  <si>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</si>
  <si>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</si>
  <si>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</si>
  <si>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</si>
  <si>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</si>
  <si>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</si>
  <si>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</si>
  <si>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</si>
  <si>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</si>
  <si>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</si>
  <si>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</si>
  <si>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</si>
  <si>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</si>
  <si>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</si>
  <si>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</si>
  <si>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</si>
  <si>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</si>
  <si>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</si>
  <si>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</si>
  <si>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</si>
  <si>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</si>
  <si>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</si>
  <si>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</si>
  <si>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</si>
  <si>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</si>
  <si>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</si>
  <si>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</si>
  <si>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</si>
  <si>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</si>
  <si>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</si>
  <si>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</si>
  <si>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</si>
  <si>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</si>
  <si>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</si>
  <si>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</si>
  <si>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</si>
  <si>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</si>
  <si>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</si>
  <si>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</si>
  <si>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</si>
  <si>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</si>
  <si>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</si>
  <si>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</si>
  <si>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</si>
  <si>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</si>
  <si>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</si>
  <si>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</si>
  <si>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</si>
  <si>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</si>
  <si>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</si>
  <si>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</si>
  <si>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</si>
  <si>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</si>
  <si>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</si>
  <si>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</si>
  <si>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</si>
  <si>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</si>
  <si>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</si>
  <si>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</si>
  <si>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</si>
  <si>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</si>
  <si>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</si>
  <si>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</si>
  <si>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</si>
  <si>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</si>
  <si>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</si>
  <si>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</si>
  <si>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</si>
  <si>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</si>
  <si>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</si>
  <si>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</si>
  <si>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</si>
  <si>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</si>
  <si>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</si>
  <si>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</si>
  <si>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</si>
  <si>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</si>
  <si>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</si>
  <si>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</si>
  <si>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</si>
  <si>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</si>
  <si>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</si>
  <si>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</si>
  <si>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</si>
  <si>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</si>
  <si>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</si>
  <si>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</si>
  <si>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</si>
  <si>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</si>
  <si>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</si>
  <si>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</si>
  <si>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</si>
  <si>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</si>
  <si>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</si>
  <si>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</si>
  <si>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</si>
  <si>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</si>
  <si>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</si>
  <si>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</si>
  <si>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</si>
  <si>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</si>
  <si>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</si>
  <si>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</si>
  <si>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</si>
  <si>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</si>
  <si>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</si>
  <si>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</si>
  <si>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</si>
  <si>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</si>
  <si>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</si>
  <si>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</si>
  <si>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</si>
  <si>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</si>
  <si>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</si>
  <si>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</si>
  <si>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</si>
  <si>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</si>
  <si>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</si>
  <si>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</si>
  <si>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</si>
  <si>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</si>
  <si>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</si>
  <si>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</si>
  <si>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</si>
  <si>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</si>
  <si>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</si>
  <si>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</si>
  <si>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</si>
  <si>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</si>
  <si>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</si>
  <si>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</si>
  <si>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</si>
  <si>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</si>
  <si>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</si>
  <si>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</si>
  <si>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</si>
  <si>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</si>
  <si>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</si>
  <si>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</si>
  <si>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</si>
  <si>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</si>
  <si>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</si>
  <si>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</si>
  <si>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</si>
  <si>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</si>
  <si>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</si>
  <si>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</si>
  <si>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</si>
  <si>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</si>
  <si>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</si>
  <si>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</si>
  <si>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</si>
  <si>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</si>
  <si>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</si>
  <si>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</si>
  <si>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</si>
  <si>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</si>
  <si>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</si>
  <si>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</si>
  <si>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</si>
  <si>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</si>
  <si>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</si>
  <si>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</si>
  <si>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</si>
  <si>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</si>
  <si>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</si>
  <si>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</si>
  <si>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</si>
  <si>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</si>
  <si>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</si>
  <si>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</si>
  <si>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</si>
  <si>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</si>
  <si>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</si>
  <si>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</si>
  <si>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</si>
  <si>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</si>
  <si>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</si>
  <si>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</si>
  <si>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CATALUÑA</t>
  </si>
  <si>
    <t>Provincias</t>
  </si>
  <si>
    <t>BARCELONA</t>
  </si>
  <si>
    <t>Resumenes por Partidos Judiciales</t>
  </si>
  <si>
    <t>BADALONA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</si>
</sst>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lzF6FTuyhV6qyt3cUwRNNRMWpUPmurM50wcaxZebuSIi9LMHgxr0OFet+K378UqJrS5e/EHe7If2cZJxC/1J2w==" saltValue="CBe4SBY+9KZlOz/AjHsMz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CATALUÑA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6</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30.628063943161635</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45</v>
      </c>
      <c r="D10" s="229">
        <f>IF(ISNUMBER(Datos!I10),Datos!I10," - ")</f>
        <v>45</v>
      </c>
      <c r="E10" s="230">
        <f>IF(ISNUMBER(Datos!J10),Datos!J10," - ")</f>
        <v>22</v>
      </c>
      <c r="F10" s="230">
        <f>IF(ISNUMBER(Datos!K10),Datos!K10," - ")</f>
        <v>13</v>
      </c>
      <c r="G10" s="1189" t="str">
        <f>IF(Datos!E10&lt;&gt;"",Datos!E10,Datos!D10)</f>
        <v>37</v>
      </c>
      <c r="H10" s="231">
        <f>IF(ISNUMBER(Datos!L10),Datos!L10," - ")</f>
        <v>54</v>
      </c>
      <c r="I10" s="1199" t="str">
        <f>IF(ISNUMBER(Datos!AS10/Datos!BM10),Datos!AS10/Datos!BM10," - ")</f>
        <v xml:space="preserve"> - </v>
      </c>
      <c r="J10" s="1200">
        <f>IF(ISNUMBER(Datos!BY10/Datos!CN10),Datos!BY10/Datos!CN10," - ")</f>
        <v>0</v>
      </c>
      <c r="K10" s="234">
        <f t="shared" ref="K10:K12" si="1">IF(ISNUMBER((E10-F10)/C10),(E10-F10)/C10," - ")</f>
        <v>0.2</v>
      </c>
      <c r="L10" s="1201">
        <f>IF(ISNUMBER(NºAsuntos!I10/NºAsuntos!G10),(NºAsuntos!I10/NºAsuntos!G10)*11," - ")</f>
        <v>45.692307692307693</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2</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19.646511627906975</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45</v>
      </c>
      <c r="D13" s="1206">
        <f>SUBTOTAL(9,D9:D12)</f>
        <v>45</v>
      </c>
      <c r="E13" s="1207">
        <f>SUBTOTAL(9,E9:E12)</f>
        <v>22</v>
      </c>
      <c r="F13" s="1208">
        <f>SUBTOTAL(9,F9:F12)</f>
        <v>13</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5</v>
      </c>
      <c r="B15" s="1254" t="str">
        <f>Datos!A15</f>
        <v xml:space="preserve">Jdos. Instrucción                               </v>
      </c>
      <c r="C15" s="229">
        <f t="shared" ref="C15:C17" si="2">IF(ISNUMBER(H15-E15+F15),H15-E15+F15," - ")</f>
        <v>2508</v>
      </c>
      <c r="D15" s="229">
        <f>IF(ISNUMBER(IF(D_I="SI",Datos!I15,Datos!I15+Datos!AC15)),IF(D_I="SI",Datos!I15,Datos!I15+Datos!AC15)," - ")</f>
        <v>2456</v>
      </c>
      <c r="E15" s="230">
        <f>IF(ISNUMBER(IF(D_I="SI",Datos!J15,Datos!J15+Datos!AD15)),IF(D_I="SI",Datos!J15,Datos!J15+Datos!AD15)," - ")</f>
        <v>4134</v>
      </c>
      <c r="F15" s="230">
        <f>IF(ISNUMBER(IF(D_I="SI",Datos!K15,Datos!K15+Datos!AE15)),IF(D_I="SI",Datos!K15,Datos!K15+Datos!AE15)," - ")</f>
        <v>3890</v>
      </c>
      <c r="G15" s="1189" t="str">
        <f>IF(Datos!E15&lt;&gt;"",Datos!E15,Datos!D15)</f>
        <v>03</v>
      </c>
      <c r="H15" s="231">
        <f>IF(ISNUMBER(IF(D_I="SI",Datos!L15,Datos!L15+Datos!AF15)),IF(D_I="SI",Datos!L15,Datos!L15+Datos!AF15)," - ")</f>
        <v>2752</v>
      </c>
      <c r="I15" s="1199" t="str">
        <f>IF(ISNUMBER(Datos!AS15/Datos!BM15),Datos!AS15/Datos!BM15," - ")</f>
        <v xml:space="preserve"> - </v>
      </c>
      <c r="J15" s="1200">
        <f>IF(ISNUMBER(Datos!BY15/Datos!CN15),Datos!BY15/Datos!CN15," - ")</f>
        <v>0</v>
      </c>
      <c r="K15" s="234">
        <f t="shared" ref="K15:K17" si="3">IF(ISNUMBER((E15-F15)/C15),(E15-F15)/C15," - ")</f>
        <v>9.7288676236044661E-2</v>
      </c>
      <c r="L15" s="1201">
        <f>IF(ISNUMBER(NºAsuntos!I15/NºAsuntos!G15),(NºAsuntos!I15/NºAsuntos!G15)*11," - ")</f>
        <v>7.7820051413881748</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211</v>
      </c>
      <c r="D17" s="229">
        <f>IF(ISNUMBER(IF(D_I="SI",Datos!I17,Datos!I17+Datos!AC17)),IF(D_I="SI",Datos!I17,Datos!I17+Datos!AC17)," - ")</f>
        <v>208</v>
      </c>
      <c r="E17" s="230">
        <f>IF(ISNUMBER(IF(D_I="SI",Datos!J17,Datos!J17+Datos!AD17)),IF(D_I="SI",Datos!J17,Datos!J17+Datos!AD17)," - ")</f>
        <v>366</v>
      </c>
      <c r="F17" s="230">
        <f>IF(ISNUMBER(IF(D_I="SI",Datos!K17,Datos!K17+Datos!AE17)),IF(D_I="SI",Datos!K17,Datos!K17+Datos!AE17)," - ")</f>
        <v>307</v>
      </c>
      <c r="G17" s="1189" t="str">
        <f>IF(Datos!E17&lt;&gt;"",Datos!E17,Datos!D17)</f>
        <v>37</v>
      </c>
      <c r="H17" s="231">
        <f>IF(ISNUMBER(IF(D_I="SI",Datos!L17,Datos!L17+Datos!AF17)),IF(D_I="SI",Datos!L17,Datos!L17+Datos!AF17)," - ")</f>
        <v>270</v>
      </c>
      <c r="I17" s="1199" t="str">
        <f>IF(ISNUMBER(Datos!AS17/Datos!BM17),Datos!AS17/Datos!BM17," - ")</f>
        <v xml:space="preserve"> - </v>
      </c>
      <c r="J17" s="1200" t="str">
        <f>IF(ISNUMBER((Datos!BY17+Datos!BZ17)/Datos!CN17),(Datos!BY17+Datos!BZ17)/Datos!CN17," - ")</f>
        <v xml:space="preserve"> - </v>
      </c>
      <c r="K17" s="234">
        <f t="shared" si="3"/>
        <v>0.27962085308056872</v>
      </c>
      <c r="L17" s="1201">
        <f>IF(ISNUMBER(NºAsuntos!I17/NºAsuntos!G17),(NºAsuntos!I17/NºAsuntos!G17)*11," - ")</f>
        <v>9.6742671009771986</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2719</v>
      </c>
      <c r="D18" s="1206">
        <f>SUBTOTAL(9,D15:D17)</f>
        <v>2664</v>
      </c>
      <c r="E18" s="1207">
        <f>SUBTOTAL(9,E15:E17)</f>
        <v>4500</v>
      </c>
      <c r="F18" s="1207">
        <f>SUBTOTAL(9,F15:F17)</f>
        <v>4197</v>
      </c>
      <c r="G18" s="1209" t="str">
        <f ca="1">INDIRECT(CONCATENATE("G",ROW()-1))</f>
        <v>37</v>
      </c>
      <c r="H18" s="1210">
        <f ca="1">SUMIF(G$14:G17,G18,H$14:H17)</f>
        <v>270</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2764</v>
      </c>
      <c r="D19" s="1228">
        <f>SUBTOTAL(9,D9:D18)</f>
        <v>2709</v>
      </c>
      <c r="E19" s="1229">
        <f>SUBTOTAL(9,E9:E18)</f>
        <v>4522</v>
      </c>
      <c r="F19" s="1229">
        <f>SUBTOTAL(9,F9:F18)</f>
        <v>4210</v>
      </c>
      <c r="G19" s="1230"/>
      <c r="H19" s="1231">
        <f ca="1">SUMIF(B9:B18,"TOTAL",H9:H18)</f>
        <v>270</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IJ/cljJycWsXf0xB3PA3//GQ1wtiZwCeFqtzVkeemF7k8+jfYM9rY+8oS/Iu7I2XpmLdh8/GHmDB3oYDXs9oWw==" saltValue="YAA9s4snWdHhRR5tRo4H1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EFe5ll1bkdpn+CtrQgkp8NZumRTbTZmipvGApfFZyCZ7ZXNEH2ce7c+p1xLoe/auxV3YZsq4vHIIhbrAQ9zozg==" saltValue="banAAKkSUx10rIqvmLoti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v>7349</v>
      </c>
      <c r="J9" s="185">
        <v>2866</v>
      </c>
      <c r="K9" s="185">
        <v>2651</v>
      </c>
      <c r="L9" s="185">
        <v>7585</v>
      </c>
      <c r="M9" s="185">
        <v>399</v>
      </c>
      <c r="N9" s="185">
        <v>1556</v>
      </c>
      <c r="O9" s="185">
        <v>1145</v>
      </c>
      <c r="P9" s="185">
        <v>656</v>
      </c>
      <c r="Q9" s="185">
        <v>939</v>
      </c>
      <c r="R9" s="185">
        <v>14380</v>
      </c>
      <c r="S9" s="185">
        <v>5958</v>
      </c>
      <c r="T9" s="185">
        <v>2853</v>
      </c>
      <c r="U9" s="185">
        <v>2623</v>
      </c>
      <c r="V9" s="185">
        <v>6551</v>
      </c>
      <c r="W9" s="185">
        <v>458</v>
      </c>
      <c r="X9" s="192">
        <v>1427</v>
      </c>
      <c r="Y9" s="195">
        <v>204</v>
      </c>
      <c r="Z9" s="185">
        <v>213</v>
      </c>
      <c r="AA9" s="185">
        <v>164</v>
      </c>
      <c r="AB9" s="185">
        <v>253</v>
      </c>
      <c r="AC9" s="185">
        <v>0</v>
      </c>
      <c r="AD9" s="185">
        <v>0</v>
      </c>
      <c r="AE9" s="185">
        <v>0</v>
      </c>
      <c r="AF9" s="192">
        <v>0</v>
      </c>
      <c r="AG9" s="195">
        <v>159</v>
      </c>
      <c r="AH9" s="185">
        <v>161</v>
      </c>
      <c r="AI9" s="185">
        <v>151</v>
      </c>
      <c r="AJ9" s="196">
        <v>169</v>
      </c>
      <c r="AK9" s="184">
        <v>0</v>
      </c>
      <c r="AL9" s="185">
        <v>0</v>
      </c>
      <c r="AM9" s="185">
        <v>0</v>
      </c>
      <c r="AN9" s="192">
        <v>0</v>
      </c>
      <c r="AO9" s="262">
        <v>6</v>
      </c>
      <c r="AP9" s="158">
        <v>6</v>
      </c>
      <c r="AQ9" s="158">
        <v>6</v>
      </c>
      <c r="AR9" s="197">
        <v>6</v>
      </c>
      <c r="AS9" s="347" t="s">
        <v>808</v>
      </c>
      <c r="AT9" s="199"/>
      <c r="AU9" s="198"/>
      <c r="AV9" s="199"/>
      <c r="AW9" s="198"/>
      <c r="AX9" s="199"/>
      <c r="AY9" s="124">
        <f>IF(ISNUMBER(IF(J_V="SI",S9,S9+AG9)),IF(J_V="SI",S9,S9+AG9)," - ")</f>
        <v>6117</v>
      </c>
      <c r="AZ9" s="124">
        <f>IF(ISNUMBER(IF(J_V="SI",T9,T9+AH9)),IF(J_V="SI",T9,T9+AH9)," - ")</f>
        <v>3014</v>
      </c>
      <c r="BA9" s="125">
        <f>IF(ISNUMBER(IF(J_V="SI",U9,U9+AI9)),IF(J_V="SI",U9,U9+AI9)," - ")</f>
        <v>2774</v>
      </c>
      <c r="BB9" s="125">
        <f>IF(ISNUMBER(IF(J_V="SI",V9,V9+AJ9)),IF(J_V="SI",V9,V9+AJ9)," - ")</f>
        <v>6720</v>
      </c>
      <c r="BC9" s="126">
        <f>IF(ISNUMBER(X9),X9," - ")</f>
        <v>1427</v>
      </c>
      <c r="BD9" s="127">
        <f>IF(ISNUMBER(BA9/AZ9),BA9/AZ9," - ")</f>
        <v>0.92037159920371603</v>
      </c>
      <c r="BE9" s="128">
        <f>IF(ISNUMBER(BB9/BA9),BB9/BA9, " - ")</f>
        <v>2.4224945926459984</v>
      </c>
      <c r="BF9" s="128">
        <f>IF(ISNUMBER(BC9/BA9),BC9/BA9, " - ")</f>
        <v>0.5144196106705119</v>
      </c>
      <c r="BG9" s="200">
        <f>IF(ISNUMBER((AY9+AZ9)/BA9),(AY9+AZ9)/BA9," - ")</f>
        <v>3.2916366258111029</v>
      </c>
      <c r="BH9" s="158">
        <v>6</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45</v>
      </c>
      <c r="J10" s="185">
        <v>22</v>
      </c>
      <c r="K10" s="185">
        <v>13</v>
      </c>
      <c r="L10" s="185">
        <v>54</v>
      </c>
      <c r="M10" s="185">
        <v>5</v>
      </c>
      <c r="N10" s="185">
        <v>6</v>
      </c>
      <c r="O10" s="185">
        <v>2</v>
      </c>
      <c r="P10" s="185">
        <v>3</v>
      </c>
      <c r="Q10" s="185">
        <v>0</v>
      </c>
      <c r="R10" s="185">
        <v>107</v>
      </c>
      <c r="S10" s="185">
        <v>20</v>
      </c>
      <c r="T10" s="185">
        <v>15</v>
      </c>
      <c r="U10" s="185">
        <v>8</v>
      </c>
      <c r="V10" s="185">
        <v>27</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1</v>
      </c>
      <c r="AQ10" s="158">
        <v>1</v>
      </c>
      <c r="AR10" s="159">
        <v>1</v>
      </c>
      <c r="AS10" s="348" t="s">
        <v>802</v>
      </c>
      <c r="AT10" s="196"/>
      <c r="AU10" s="204"/>
      <c r="AV10" s="196"/>
      <c r="AW10" s="204"/>
      <c r="AX10" s="196"/>
      <c r="AY10" s="129">
        <f t="shared" ref="AY10:BC10" si="0">IF(ISNUMBER(S10),S10," - ")</f>
        <v>20</v>
      </c>
      <c r="AZ10" s="130">
        <f t="shared" si="0"/>
        <v>15</v>
      </c>
      <c r="BA10" s="130">
        <f t="shared" si="0"/>
        <v>8</v>
      </c>
      <c r="BB10" s="130">
        <f t="shared" si="0"/>
        <v>27</v>
      </c>
      <c r="BC10" s="126">
        <f t="shared" si="0"/>
        <v>0</v>
      </c>
      <c r="BD10" s="127">
        <f>IF(ISNUMBER(BA10/AZ10),BA10/AZ10," - ")</f>
        <v>0.53333333333333333</v>
      </c>
      <c r="BE10" s="128">
        <f>IF(ISNUMBER(BB10/BA10),BB10/BA10, " - ")</f>
        <v>3.375</v>
      </c>
      <c r="BF10" s="128">
        <f>IF(ISNUMBER(BC10/BA10),BC10/BA10, " - ")</f>
        <v>0</v>
      </c>
      <c r="BG10" s="200">
        <f>IF(ISNUMBER((AY10+AZ10)/BA10),(AY10+AZ10)/BA10," - ")</f>
        <v>4.375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v>709</v>
      </c>
      <c r="J11" s="187">
        <v>345</v>
      </c>
      <c r="K11" s="187">
        <v>323</v>
      </c>
      <c r="L11" s="187">
        <v>731</v>
      </c>
      <c r="M11" s="187">
        <v>119</v>
      </c>
      <c r="N11" s="187">
        <v>223</v>
      </c>
      <c r="O11" s="185">
        <v>116</v>
      </c>
      <c r="P11" s="187">
        <v>37</v>
      </c>
      <c r="Q11" s="187">
        <v>86</v>
      </c>
      <c r="R11" s="187">
        <v>728</v>
      </c>
      <c r="S11" s="187">
        <v>581</v>
      </c>
      <c r="T11" s="187">
        <v>301</v>
      </c>
      <c r="U11" s="187">
        <v>280</v>
      </c>
      <c r="V11" s="187">
        <v>654</v>
      </c>
      <c r="W11" s="187">
        <v>103</v>
      </c>
      <c r="X11" s="193">
        <v>160</v>
      </c>
      <c r="Y11" s="195">
        <v>43</v>
      </c>
      <c r="Z11" s="185">
        <v>101</v>
      </c>
      <c r="AA11" s="185">
        <v>107</v>
      </c>
      <c r="AB11" s="185">
        <v>37</v>
      </c>
      <c r="AC11" s="187">
        <v>0</v>
      </c>
      <c r="AD11" s="187">
        <v>0</v>
      </c>
      <c r="AE11" s="187">
        <v>0</v>
      </c>
      <c r="AF11" s="193">
        <v>0</v>
      </c>
      <c r="AG11" s="206">
        <v>99</v>
      </c>
      <c r="AH11" s="187">
        <v>67</v>
      </c>
      <c r="AI11" s="187">
        <v>76</v>
      </c>
      <c r="AJ11" s="207">
        <v>40</v>
      </c>
      <c r="AK11" s="186">
        <v>0</v>
      </c>
      <c r="AL11" s="187">
        <v>0</v>
      </c>
      <c r="AM11" s="187">
        <v>0</v>
      </c>
      <c r="AN11" s="193">
        <v>0</v>
      </c>
      <c r="AO11" s="263">
        <v>2</v>
      </c>
      <c r="AP11" s="159">
        <v>2</v>
      </c>
      <c r="AQ11" s="159">
        <v>2</v>
      </c>
      <c r="AR11" s="158">
        <v>2</v>
      </c>
      <c r="AS11" s="349" t="s">
        <v>810</v>
      </c>
      <c r="AT11" s="207"/>
      <c r="AU11" s="206"/>
      <c r="AV11" s="207"/>
      <c r="AW11" s="206"/>
      <c r="AX11" s="207"/>
      <c r="AY11" s="127">
        <f t="shared" ref="AY11:BB12" si="1">IF(ISNUMBER(IF(J_V="SI",S11,S11+AG11)),IF(J_V="SI",S11,S11+AG11)," - ")</f>
        <v>680</v>
      </c>
      <c r="AZ11" s="128">
        <f t="shared" si="1"/>
        <v>368</v>
      </c>
      <c r="BA11" s="128">
        <f t="shared" si="1"/>
        <v>356</v>
      </c>
      <c r="BB11" s="128">
        <f t="shared" si="1"/>
        <v>694</v>
      </c>
      <c r="BC11" s="126">
        <f>IF(ISNUMBER(X11),X11," - ")</f>
        <v>160</v>
      </c>
      <c r="BD11" s="127">
        <f t="shared" ref="BD11:BD12" si="2">IF(ISNUMBER(BA11/AZ11),BA11/AZ11," - ")</f>
        <v>0.96739130434782605</v>
      </c>
      <c r="BE11" s="128">
        <f t="shared" ref="BE11:BE12" si="3">IF(ISNUMBER(BB11/BA11),BB11/BA11, " - ")</f>
        <v>1.949438202247191</v>
      </c>
      <c r="BF11" s="128">
        <f t="shared" ref="BF11:BF12" si="4">IF(ISNUMBER(BC11/BA11),BC11/BA11, " - ")</f>
        <v>0.449438202247191</v>
      </c>
      <c r="BG11" s="200">
        <f t="shared" ref="BG11:BG12" si="5">IF(ISNUMBER((AY11+AZ11)/BA11),(AY11+AZ11)/BA11," - ")</f>
        <v>2.9438202247191012</v>
      </c>
      <c r="BH11" s="159">
        <v>2</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8103</v>
      </c>
      <c r="J13" s="188">
        <f t="shared" si="6"/>
        <v>3233</v>
      </c>
      <c r="K13" s="188">
        <f t="shared" si="6"/>
        <v>2987</v>
      </c>
      <c r="L13" s="188">
        <f t="shared" si="6"/>
        <v>8370</v>
      </c>
      <c r="M13" s="188">
        <f t="shared" si="6"/>
        <v>523</v>
      </c>
      <c r="N13" s="188">
        <f t="shared" si="6"/>
        <v>1785</v>
      </c>
      <c r="O13" s="188">
        <f t="shared" si="6"/>
        <v>1263</v>
      </c>
      <c r="P13" s="188">
        <f t="shared" si="6"/>
        <v>696</v>
      </c>
      <c r="Q13" s="188">
        <f t="shared" si="6"/>
        <v>1025</v>
      </c>
      <c r="R13" s="188">
        <f t="shared" si="6"/>
        <v>15215</v>
      </c>
      <c r="S13" s="188">
        <f t="shared" si="6"/>
        <v>6559</v>
      </c>
      <c r="T13" s="188">
        <f t="shared" si="6"/>
        <v>3169</v>
      </c>
      <c r="U13" s="188">
        <f t="shared" si="6"/>
        <v>2911</v>
      </c>
      <c r="V13" s="188">
        <f t="shared" si="6"/>
        <v>7232</v>
      </c>
      <c r="W13" s="188">
        <f t="shared" si="6"/>
        <v>561</v>
      </c>
      <c r="X13" s="188">
        <f t="shared" si="6"/>
        <v>1587</v>
      </c>
      <c r="Y13" s="188">
        <f t="shared" si="6"/>
        <v>247</v>
      </c>
      <c r="Z13" s="188">
        <f t="shared" si="6"/>
        <v>314</v>
      </c>
      <c r="AA13" s="188">
        <f t="shared" si="6"/>
        <v>271</v>
      </c>
      <c r="AB13" s="188">
        <f t="shared" si="6"/>
        <v>290</v>
      </c>
      <c r="AC13" s="188">
        <f t="shared" si="6"/>
        <v>0</v>
      </c>
      <c r="AD13" s="188">
        <f t="shared" si="6"/>
        <v>0</v>
      </c>
      <c r="AE13" s="188">
        <f t="shared" si="6"/>
        <v>0</v>
      </c>
      <c r="AF13" s="188">
        <f>SUBTOTAL(9,AF9:AF12)</f>
        <v>0</v>
      </c>
      <c r="AG13" s="188">
        <f t="shared" ref="AG13:AT13" si="7">SUBTOTAL(9,AG8:AG12)</f>
        <v>258</v>
      </c>
      <c r="AH13" s="188">
        <f t="shared" si="7"/>
        <v>228</v>
      </c>
      <c r="AI13" s="188">
        <f t="shared" si="7"/>
        <v>227</v>
      </c>
      <c r="AJ13" s="188">
        <f t="shared" si="7"/>
        <v>209</v>
      </c>
      <c r="AK13" s="188">
        <f t="shared" si="7"/>
        <v>0</v>
      </c>
      <c r="AL13" s="188">
        <f t="shared" si="7"/>
        <v>0</v>
      </c>
      <c r="AM13" s="188">
        <f t="shared" si="7"/>
        <v>0</v>
      </c>
      <c r="AN13" s="188">
        <f t="shared" si="7"/>
        <v>0</v>
      </c>
      <c r="AO13" s="188">
        <f t="shared" si="7"/>
        <v>9</v>
      </c>
      <c r="AP13" s="188">
        <f t="shared" si="7"/>
        <v>9</v>
      </c>
      <c r="AQ13" s="188">
        <f t="shared" si="7"/>
        <v>9</v>
      </c>
      <c r="AR13" s="188">
        <f t="shared" si="7"/>
        <v>9</v>
      </c>
      <c r="AS13" s="188">
        <f t="shared" si="7"/>
        <v>0</v>
      </c>
      <c r="AT13" s="188">
        <f t="shared" si="7"/>
        <v>0</v>
      </c>
      <c r="AU13" s="208"/>
      <c r="AV13" s="133"/>
      <c r="AW13" s="208"/>
      <c r="AX13" s="133"/>
      <c r="AY13" s="188">
        <f>SUBTOTAL(9,AY8:AY12)</f>
        <v>6817</v>
      </c>
      <c r="AZ13" s="188">
        <f>SUBTOTAL(9,AZ8:AZ12)</f>
        <v>3397</v>
      </c>
      <c r="BA13" s="188">
        <f>SUBTOTAL(9,BA8:BA12)</f>
        <v>3138</v>
      </c>
      <c r="BB13" s="188">
        <f>SUBTOTAL(9,BB8:BB12)</f>
        <v>7441</v>
      </c>
      <c r="BC13" s="188">
        <f>SUBTOTAL(9,BC8:BC12)</f>
        <v>1587</v>
      </c>
      <c r="BD13" s="209">
        <f>IF(ISNUMBER(BA13/AZ13),BA13/AZ13," - ")</f>
        <v>0.92375625551957607</v>
      </c>
      <c r="BE13" s="210">
        <f>IF(ISNUMBER(BB13/BA13),BB13/BA13, " - ")</f>
        <v>2.3712555768005097</v>
      </c>
      <c r="BF13" s="210">
        <f>IF(ISNUMBER(BC13/BA13),BC13/BA13, " - ")</f>
        <v>0.50573613766730396</v>
      </c>
      <c r="BG13" s="211">
        <f>IF(ISNUMBER((AY13+AZ13)/BA13),(AY13+AZ13)/BA13," - ")</f>
        <v>3.2549394518801784</v>
      </c>
      <c r="BH13" s="144">
        <f>SUBTOTAL(9,BH8:BH12)</f>
        <v>9</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2456</v>
      </c>
      <c r="J15" s="187">
        <v>4134</v>
      </c>
      <c r="K15" s="187">
        <v>3890</v>
      </c>
      <c r="L15" s="187">
        <v>2752</v>
      </c>
      <c r="M15" s="187">
        <v>297</v>
      </c>
      <c r="N15" s="187">
        <v>2614</v>
      </c>
      <c r="O15" s="185">
        <v>64</v>
      </c>
      <c r="P15" s="187">
        <v>132</v>
      </c>
      <c r="Q15" s="187">
        <v>127</v>
      </c>
      <c r="R15" s="187">
        <v>582</v>
      </c>
      <c r="S15" s="187">
        <v>2227</v>
      </c>
      <c r="T15" s="187">
        <v>3679</v>
      </c>
      <c r="U15" s="187">
        <v>3380</v>
      </c>
      <c r="V15" s="187">
        <v>2584</v>
      </c>
      <c r="W15" s="187">
        <v>272</v>
      </c>
      <c r="X15" s="193">
        <v>2132</v>
      </c>
      <c r="Y15" s="206">
        <v>0</v>
      </c>
      <c r="Z15" s="187">
        <v>0</v>
      </c>
      <c r="AA15" s="187">
        <v>0</v>
      </c>
      <c r="AB15" s="187">
        <v>0</v>
      </c>
      <c r="AC15" s="187">
        <v>14</v>
      </c>
      <c r="AD15" s="187">
        <v>335</v>
      </c>
      <c r="AE15" s="187">
        <v>326</v>
      </c>
      <c r="AF15" s="193">
        <v>23</v>
      </c>
      <c r="AG15" s="206">
        <v>0</v>
      </c>
      <c r="AH15" s="187">
        <v>0</v>
      </c>
      <c r="AI15" s="187">
        <v>0</v>
      </c>
      <c r="AJ15" s="207">
        <v>0</v>
      </c>
      <c r="AK15" s="186">
        <v>16</v>
      </c>
      <c r="AL15" s="187">
        <v>282</v>
      </c>
      <c r="AM15" s="187">
        <v>270</v>
      </c>
      <c r="AN15" s="193">
        <v>28</v>
      </c>
      <c r="AO15" s="263">
        <v>5</v>
      </c>
      <c r="AP15" s="159">
        <v>5</v>
      </c>
      <c r="AQ15" s="159">
        <v>5</v>
      </c>
      <c r="AR15" s="159">
        <v>5</v>
      </c>
      <c r="AS15" s="349" t="s">
        <v>531</v>
      </c>
      <c r="AT15" s="207" t="s">
        <v>329</v>
      </c>
      <c r="AU15" s="206"/>
      <c r="AV15" s="207"/>
      <c r="AW15" s="206"/>
      <c r="AX15" s="207"/>
      <c r="AY15" s="129">
        <f t="shared" ref="AY15:BB16" si="9">IF(ISNUMBER(IF(D_I="SI",S15,S15+AK15)),IF(D_I="SI",S15,S15+AK15)," - ")</f>
        <v>2227</v>
      </c>
      <c r="AZ15" s="130">
        <f t="shared" si="9"/>
        <v>3679</v>
      </c>
      <c r="BA15" s="130">
        <f t="shared" si="9"/>
        <v>3380</v>
      </c>
      <c r="BB15" s="130">
        <f t="shared" si="9"/>
        <v>2584</v>
      </c>
      <c r="BC15" s="126">
        <f>IF(ISNUMBER(W15),W15," - ")</f>
        <v>272</v>
      </c>
      <c r="BD15" s="127">
        <f>IF(ISNUMBER(BA15/AZ15),BA15/AZ15," - ")</f>
        <v>0.91872791519434627</v>
      </c>
      <c r="BE15" s="128">
        <f>IF(ISNUMBER(BB15/BA15),BB15/BA15, " - ")</f>
        <v>0.76449704142011832</v>
      </c>
      <c r="BF15" s="128">
        <f>IF(ISNUMBER(BC15/BA15),BC15/BA15, " - ")</f>
        <v>8.0473372781065089E-2</v>
      </c>
      <c r="BG15" s="200">
        <f t="shared" ref="BG15:BG16" si="10">IF(ISNUMBER((AY15+AZ15)/BA15),(AY15+AZ15)/BA15," - ")</f>
        <v>1.7473372781065089</v>
      </c>
      <c r="BH15" s="159">
        <v>5</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208</v>
      </c>
      <c r="J17" s="187">
        <v>366</v>
      </c>
      <c r="K17" s="187">
        <v>307</v>
      </c>
      <c r="L17" s="187">
        <v>270</v>
      </c>
      <c r="M17" s="187">
        <v>22</v>
      </c>
      <c r="N17" s="187">
        <v>197</v>
      </c>
      <c r="O17" s="187">
        <v>1</v>
      </c>
      <c r="P17" s="187">
        <v>0</v>
      </c>
      <c r="Q17" s="187">
        <v>2</v>
      </c>
      <c r="R17" s="187">
        <v>4</v>
      </c>
      <c r="S17" s="187">
        <v>103</v>
      </c>
      <c r="T17" s="187">
        <v>290</v>
      </c>
      <c r="U17" s="187">
        <v>250</v>
      </c>
      <c r="V17" s="187">
        <v>143</v>
      </c>
      <c r="W17" s="187">
        <v>19</v>
      </c>
      <c r="X17" s="193">
        <v>236</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1</v>
      </c>
      <c r="AQ17" s="158">
        <v>1</v>
      </c>
      <c r="AR17" s="159">
        <v>1</v>
      </c>
      <c r="AS17" s="348" t="s">
        <v>801</v>
      </c>
      <c r="AT17" s="213"/>
      <c r="AU17" s="204"/>
      <c r="AV17" s="213"/>
      <c r="AW17" s="204"/>
      <c r="AX17" s="213"/>
      <c r="AY17" s="129">
        <f t="shared" ref="AY17:BB17" si="14">IF(ISNUMBER(S17),S17," - ")</f>
        <v>103</v>
      </c>
      <c r="AZ17" s="130">
        <f t="shared" si="14"/>
        <v>290</v>
      </c>
      <c r="BA17" s="130">
        <f t="shared" si="14"/>
        <v>250</v>
      </c>
      <c r="BB17" s="130">
        <f t="shared" si="14"/>
        <v>143</v>
      </c>
      <c r="BC17" s="126">
        <f>IF(ISNUMBER(W17),W17," - ")</f>
        <v>19</v>
      </c>
      <c r="BD17" s="127">
        <f>IF(ISNUMBER(BA17/AZ17),BA17/AZ17," - ")</f>
        <v>0.86206896551724133</v>
      </c>
      <c r="BE17" s="128">
        <f>IF(ISNUMBER(BB17/BA17),BB17/BA17, " - ")</f>
        <v>0.57199999999999995</v>
      </c>
      <c r="BF17" s="128">
        <f>IF(ISNUMBER(BC17/BA17),BC17/BA17, " - ")</f>
        <v>7.5999999999999998E-2</v>
      </c>
      <c r="BG17" s="200">
        <f>IF(ISNUMBER((AY17+AZ17)/BA17),(AY17+AZ17)/BA17," - ")</f>
        <v>1.5720000000000001</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2664</v>
      </c>
      <c r="J18" s="188">
        <f t="shared" si="15"/>
        <v>4500</v>
      </c>
      <c r="K18" s="188">
        <f t="shared" si="15"/>
        <v>4197</v>
      </c>
      <c r="L18" s="188">
        <f t="shared" si="15"/>
        <v>3022</v>
      </c>
      <c r="M18" s="188">
        <f t="shared" si="15"/>
        <v>319</v>
      </c>
      <c r="N18" s="188">
        <f t="shared" si="15"/>
        <v>2811</v>
      </c>
      <c r="O18" s="188">
        <f t="shared" si="15"/>
        <v>65</v>
      </c>
      <c r="P18" s="188">
        <f t="shared" si="15"/>
        <v>132</v>
      </c>
      <c r="Q18" s="188">
        <f t="shared" si="15"/>
        <v>129</v>
      </c>
      <c r="R18" s="188">
        <f t="shared" si="15"/>
        <v>586</v>
      </c>
      <c r="S18" s="188">
        <f t="shared" si="15"/>
        <v>2330</v>
      </c>
      <c r="T18" s="188">
        <f t="shared" si="15"/>
        <v>3969</v>
      </c>
      <c r="U18" s="188">
        <f t="shared" si="15"/>
        <v>3630</v>
      </c>
      <c r="V18" s="188">
        <f t="shared" si="15"/>
        <v>2727</v>
      </c>
      <c r="W18" s="188">
        <f t="shared" si="15"/>
        <v>291</v>
      </c>
      <c r="X18" s="188">
        <f t="shared" si="15"/>
        <v>2368</v>
      </c>
      <c r="Y18" s="188">
        <f t="shared" si="15"/>
        <v>0</v>
      </c>
      <c r="Z18" s="188">
        <f t="shared" si="15"/>
        <v>0</v>
      </c>
      <c r="AA18" s="188">
        <f t="shared" si="15"/>
        <v>0</v>
      </c>
      <c r="AB18" s="188">
        <f t="shared" si="15"/>
        <v>0</v>
      </c>
      <c r="AC18" s="188">
        <f t="shared" si="15"/>
        <v>14</v>
      </c>
      <c r="AD18" s="188">
        <f t="shared" si="15"/>
        <v>335</v>
      </c>
      <c r="AE18" s="188">
        <f t="shared" si="15"/>
        <v>326</v>
      </c>
      <c r="AF18" s="188">
        <f t="shared" si="15"/>
        <v>23</v>
      </c>
      <c r="AG18" s="188">
        <f t="shared" si="15"/>
        <v>0</v>
      </c>
      <c r="AH18" s="188">
        <f t="shared" si="15"/>
        <v>0</v>
      </c>
      <c r="AI18" s="188">
        <f t="shared" si="15"/>
        <v>0</v>
      </c>
      <c r="AJ18" s="188">
        <f t="shared" si="15"/>
        <v>0</v>
      </c>
      <c r="AK18" s="188">
        <f t="shared" si="15"/>
        <v>16</v>
      </c>
      <c r="AL18" s="188">
        <f t="shared" si="15"/>
        <v>282</v>
      </c>
      <c r="AM18" s="188">
        <f t="shared" si="15"/>
        <v>270</v>
      </c>
      <c r="AN18" s="188">
        <f t="shared" si="15"/>
        <v>28</v>
      </c>
      <c r="AO18" s="188">
        <f t="shared" si="15"/>
        <v>6</v>
      </c>
      <c r="AP18" s="188">
        <f t="shared" si="15"/>
        <v>6</v>
      </c>
      <c r="AQ18" s="188">
        <f t="shared" si="15"/>
        <v>6</v>
      </c>
      <c r="AR18" s="188">
        <f t="shared" si="15"/>
        <v>6</v>
      </c>
      <c r="AS18" s="188">
        <f t="shared" si="15"/>
        <v>0</v>
      </c>
      <c r="AT18" s="188">
        <f t="shared" si="15"/>
        <v>0</v>
      </c>
      <c r="AU18" s="208"/>
      <c r="AV18" s="133"/>
      <c r="AW18" s="208"/>
      <c r="AX18" s="133"/>
      <c r="AY18" s="188">
        <f>SUBTOTAL(9,AY14:AY17)</f>
        <v>2330</v>
      </c>
      <c r="AZ18" s="188">
        <f>SUBTOTAL(9,AZ14:AZ17)</f>
        <v>3969</v>
      </c>
      <c r="BA18" s="188">
        <f>SUBTOTAL(9,BA14:BA17)</f>
        <v>3630</v>
      </c>
      <c r="BB18" s="188">
        <f>SUBTOTAL(9,BB14:BB17)</f>
        <v>2727</v>
      </c>
      <c r="BC18" s="188">
        <f>SUBTOTAL(9,BC14:BC17)</f>
        <v>291</v>
      </c>
      <c r="BD18" s="209">
        <f>IF(ISNUMBER(BA18/AZ18),BA18/AZ18," - ")</f>
        <v>0.91458805744520033</v>
      </c>
      <c r="BE18" s="210">
        <f>IF(ISNUMBER(BB18/BA18),BB18/BA18, " - ")</f>
        <v>0.75123966942148757</v>
      </c>
      <c r="BF18" s="210">
        <f>IF(ISNUMBER(BC18/BA18),BC18/BA18, " - ")</f>
        <v>8.0165289256198341E-2</v>
      </c>
      <c r="BG18" s="211">
        <f>IF(ISNUMBER((AY18+AZ18)/BA18),(AY18+AZ18)/BA18," - ")</f>
        <v>1.7352617079889807</v>
      </c>
      <c r="BH18" s="188">
        <f>SUBTOTAL(9,BH14:BH17)</f>
        <v>6</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10767</v>
      </c>
      <c r="J19" s="135">
        <f t="shared" si="18"/>
        <v>7733</v>
      </c>
      <c r="K19" s="135">
        <f t="shared" si="18"/>
        <v>7184</v>
      </c>
      <c r="L19" s="135">
        <f t="shared" si="18"/>
        <v>11392</v>
      </c>
      <c r="M19" s="135">
        <f t="shared" si="18"/>
        <v>842</v>
      </c>
      <c r="N19" s="135">
        <f t="shared" si="18"/>
        <v>4596</v>
      </c>
      <c r="O19" s="135">
        <f t="shared" si="18"/>
        <v>1328</v>
      </c>
      <c r="P19" s="135">
        <f t="shared" si="18"/>
        <v>828</v>
      </c>
      <c r="Q19" s="135">
        <f t="shared" si="18"/>
        <v>1154</v>
      </c>
      <c r="R19" s="135">
        <f t="shared" si="18"/>
        <v>15801</v>
      </c>
      <c r="S19" s="135">
        <f t="shared" si="18"/>
        <v>8889</v>
      </c>
      <c r="T19" s="135">
        <f t="shared" si="18"/>
        <v>7138</v>
      </c>
      <c r="U19" s="135">
        <f t="shared" si="18"/>
        <v>6541</v>
      </c>
      <c r="V19" s="135">
        <f t="shared" si="18"/>
        <v>9959</v>
      </c>
      <c r="W19" s="135">
        <f t="shared" si="18"/>
        <v>852</v>
      </c>
      <c r="X19" s="135">
        <f t="shared" si="18"/>
        <v>3955</v>
      </c>
      <c r="Y19" s="135">
        <f t="shared" si="18"/>
        <v>247</v>
      </c>
      <c r="Z19" s="135">
        <f t="shared" si="18"/>
        <v>314</v>
      </c>
      <c r="AA19" s="135">
        <f t="shared" si="18"/>
        <v>271</v>
      </c>
      <c r="AB19" s="135">
        <f t="shared" si="18"/>
        <v>290</v>
      </c>
      <c r="AC19" s="135">
        <f t="shared" si="18"/>
        <v>14</v>
      </c>
      <c r="AD19" s="135">
        <f t="shared" si="18"/>
        <v>335</v>
      </c>
      <c r="AE19" s="135">
        <f t="shared" si="18"/>
        <v>326</v>
      </c>
      <c r="AF19" s="135">
        <f t="shared" si="18"/>
        <v>23</v>
      </c>
      <c r="AG19" s="135">
        <f t="shared" si="18"/>
        <v>258</v>
      </c>
      <c r="AH19" s="135">
        <f t="shared" si="18"/>
        <v>228</v>
      </c>
      <c r="AI19" s="135">
        <f t="shared" si="18"/>
        <v>227</v>
      </c>
      <c r="AJ19" s="135">
        <f t="shared" si="18"/>
        <v>209</v>
      </c>
      <c r="AK19" s="135">
        <f t="shared" si="18"/>
        <v>16</v>
      </c>
      <c r="AL19" s="135">
        <f t="shared" si="18"/>
        <v>282</v>
      </c>
      <c r="AM19" s="135">
        <f t="shared" si="18"/>
        <v>270</v>
      </c>
      <c r="AN19" s="214">
        <f t="shared" si="18"/>
        <v>28</v>
      </c>
      <c r="AO19" s="215">
        <v>14</v>
      </c>
      <c r="AP19" s="215">
        <v>14</v>
      </c>
      <c r="AQ19" s="215">
        <v>14</v>
      </c>
      <c r="AR19" s="215">
        <v>14</v>
      </c>
      <c r="AS19" s="157">
        <f t="shared" si="18"/>
        <v>0</v>
      </c>
      <c r="AT19" s="157">
        <f t="shared" si="18"/>
        <v>0</v>
      </c>
      <c r="AU19" s="215"/>
      <c r="AV19" s="216"/>
      <c r="AW19" s="215"/>
      <c r="AX19" s="216"/>
      <c r="AY19" s="134">
        <f>SUBTOTAL(9,AY9:AY18)</f>
        <v>9147</v>
      </c>
      <c r="AZ19" s="135">
        <f>SUBTOTAL(9,AZ9:AZ18)</f>
        <v>7366</v>
      </c>
      <c r="BA19" s="135">
        <f>SUBTOTAL(9,BA9:BA18)</f>
        <v>6768</v>
      </c>
      <c r="BB19" s="135">
        <f>SUBTOTAL(9,BB9:BB18)</f>
        <v>10168</v>
      </c>
      <c r="BC19" s="136">
        <f>SUBTOTAL(9,BC9:BC18)</f>
        <v>1878</v>
      </c>
      <c r="BD19" s="217">
        <f>IF(ISNUMBER(BA19/AZ19),BA19/AZ19," - ")</f>
        <v>0.91881618245995111</v>
      </c>
      <c r="BE19" s="214">
        <f>IF(ISNUMBER(BB19/BA19),BB19/BA19, " - ")</f>
        <v>1.5023640661938533</v>
      </c>
      <c r="BF19" s="214">
        <f>IF(ISNUMBER(BC19/BA19),BC19/BA19, " - ")</f>
        <v>0.2774822695035461</v>
      </c>
      <c r="BG19" s="136">
        <f>IF(ISNUMBER((AY19+AZ19)/BA19),(AY19+AZ19)/BA19," - ")</f>
        <v>2.4398640661938535</v>
      </c>
      <c r="BH19" s="215">
        <f>SUBTOTAL(9,BH9:BH18)</f>
        <v>15</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Mjny+JKGv0BiRn6AJ3+R5K8icI///TbsatVNHeGOIb6yapxSxU55BkkmSkkAziqX0+L76ZgmdEraZ73M9doOTA==" saltValue="LeHl8XEWj4nuRJKr2bHy9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Jam/L7Pay00ZV3zqDSe+dqMy2G4MEwA58OlMdMrBI1X/fdVS43Hth6aTRmXCao3LAT7tyoWSwMhXtHKJWOhqPA==" saltValue="UKa7OJcIzWqZiY5VGtfqb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CATALUÑA</v>
      </c>
      <c r="F1" s="531"/>
    </row>
    <row r="2" spans="1:74" ht="16.5" customHeight="1">
      <c r="C2" s="520" t="str">
        <f>Criterios!A10 &amp;"  "&amp;Criterios!B10 &amp; "  " &amp; IF(NOT(ISBLANK(Criterios!A11)),Criterios!A11 &amp;"  "&amp;Criterios!B11,"")</f>
        <v>Provincias  BARCELONA  Resumenes por Partidos Judiciales  BADALONA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6</v>
      </c>
      <c r="B9" s="652" t="s">
        <v>249</v>
      </c>
      <c r="C9" s="670" t="str">
        <f>Datos!A9</f>
        <v xml:space="preserve">Jdos. 1ª Instancia   </v>
      </c>
      <c r="D9" s="543"/>
      <c r="E9" s="669">
        <f>IF(ISNUMBER(Datos!AQ9),Datos!AQ9," - ")</f>
        <v>6</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213</v>
      </c>
      <c r="O9" s="503"/>
      <c r="P9" s="503"/>
      <c r="Q9" s="501">
        <f>IF(ISNUMBER(Datos!P9),Datos!P9,0)</f>
        <v>656</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939</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253</v>
      </c>
      <c r="AI9" s="503" t="str">
        <f>IF(ISNUMBER(Datos!CD9),Datos!CD9,"-")</f>
        <v>-</v>
      </c>
      <c r="AJ9" s="503" t="str">
        <f>IF(ISNUMBER(Datos!EN9),Datos!EN9," - ")</f>
        <v xml:space="preserve"> - </v>
      </c>
      <c r="AK9" s="503"/>
      <c r="AL9" s="504"/>
      <c r="AM9" s="671">
        <f>IF(ISNUMBER(Datos!R9),Datos!R9," - ")</f>
        <v>14380</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399</v>
      </c>
      <c r="BD9" s="619">
        <f>IF(ISNUMBER(Datos!N9),Datos!N9," - ")</f>
        <v>1556</v>
      </c>
      <c r="BE9" s="619" t="str">
        <f>IF(ISNUMBER(Datos!BW9),Datos!BW9," - ")</f>
        <v xml:space="preserve"> - </v>
      </c>
      <c r="BF9" s="667" t="str">
        <f>IF(ISNUMBER(Datos!BX9),Datos!BX9," - ")</f>
        <v xml:space="preserve"> - </v>
      </c>
      <c r="BG9" s="668">
        <f>IF(ISNUMBER(IF(J_V="SI",Datos!K9/Datos!J9,(Datos!K9+Datos!AA9)/(Datos!J9+Datos!Z9))),IF(J_V="SI",Datos!K9/Datos!J9,(Datos!K9+Datos!AA9)/(Datos!J9+Datos!Z9))," - ")</f>
        <v>0.91425787593374475</v>
      </c>
      <c r="BH9" s="669">
        <f>IF(ISNUMBER(((IF(J_V="SI",Datos!L9/Datos!K9,(Datos!L9+Datos!AB9)/(Datos!K9+Datos!AA9)))*11)/factor_trimestre),((IF(J_V="SI",Datos!L9/Datos!K9,(Datos!L9+Datos!AB9)/(Datos!K9+Datos!AA9)))*11)/factor_trimestre," - ")</f>
        <v>5.5687388987566608</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-1.9300279615358386E-2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1</v>
      </c>
      <c r="F10" s="506">
        <f>IF(ISNUMBER(Datos!L10+Datos!K10-Datos!J10),Datos!L10+Datos!K10-Datos!J10," - ")</f>
        <v>45</v>
      </c>
      <c r="G10" s="497">
        <f>IF(ISNUMBER(Datos!I10),Datos!I10," - ")</f>
        <v>45</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3</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13</v>
      </c>
      <c r="AC10" s="501">
        <f>IF(ISNUMBER(Datos!Q10),Datos!Q10," - ")</f>
        <v>0</v>
      </c>
      <c r="AD10" s="503"/>
      <c r="AE10" s="516"/>
      <c r="AF10" s="505">
        <f>IF(ISNUMBER(Datos!L10),Datos!L10,"-")</f>
        <v>54</v>
      </c>
      <c r="AG10" s="503"/>
      <c r="AH10" s="503"/>
      <c r="AI10" s="503"/>
      <c r="AJ10" s="503"/>
      <c r="AK10" s="503"/>
      <c r="AL10" s="504"/>
      <c r="AM10" s="671">
        <f>IF(ISNUMBER(Datos!R10),Datos!R10," - ")</f>
        <v>107</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5</v>
      </c>
      <c r="BD10" s="619">
        <f>IF(ISNUMBER(Datos!N10),Datos!N10," - ")</f>
        <v>6</v>
      </c>
      <c r="BE10" s="619" t="str">
        <f>IF(ISNUMBER(Datos!BW10),Datos!BW10," - ")</f>
        <v xml:space="preserve"> - </v>
      </c>
      <c r="BF10" s="667" t="str">
        <f>IF(ISNUMBER(Datos!BX10),Datos!BX10," - ")</f>
        <v xml:space="preserve"> - </v>
      </c>
      <c r="BG10" s="668">
        <f>IF(ISNUMBER(Datos!K10/Datos!J10),Datos!K10/Datos!J10," - ")</f>
        <v>0.59090909090909094</v>
      </c>
      <c r="BH10" s="669">
        <f>IF(ISNUMBER(((Datos!L10/Datos!K10)*11)/factor_trimestre),((Datos!L10/Datos!K10)*11)/factor_trimestre," - ")</f>
        <v>8.3076923076923084</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2.8846153846153848E-2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2</v>
      </c>
      <c r="B11" s="653" t="s">
        <v>249</v>
      </c>
      <c r="C11" s="654" t="str">
        <f>Datos!A11</f>
        <v xml:space="preserve">Jdos. Familia                                   </v>
      </c>
      <c r="D11" s="548"/>
      <c r="E11" s="669">
        <f>IF(ISNUMBER(Datos!AQ11),Datos!AQ11," - ")</f>
        <v>2</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101</v>
      </c>
      <c r="O11" s="503"/>
      <c r="P11" s="503"/>
      <c r="Q11" s="501">
        <f>IF(ISNUMBER(Datos!P11),Datos!P11,0)</f>
        <v>37</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86</v>
      </c>
      <c r="AD11" s="503"/>
      <c r="AE11" s="516"/>
      <c r="AF11" s="505" t="str">
        <f>IF(ISNUMBER(IF(J_V="SI",Datos!L11,Datos!L11+Datos!AB11)-IF(Monitorios="SI",Datos!CD11,0)),
                          IF(J_V="SI",Datos!L11,Datos!L11+Datos!AB11)-IF(Monitorios="SI",Datos!CD11,0),
                          " - ")</f>
        <v xml:space="preserve"> - </v>
      </c>
      <c r="AG11" s="503"/>
      <c r="AH11" s="503">
        <f>IF(ISNUMBER(Datos!AB11),Datos!AB11,"-")</f>
        <v>37</v>
      </c>
      <c r="AI11" s="503"/>
      <c r="AJ11" s="503"/>
      <c r="AK11" s="503"/>
      <c r="AL11" s="504"/>
      <c r="AM11" s="671">
        <f>IF(ISNUMBER(Datos!R11),Datos!R11," - ")</f>
        <v>728</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119</v>
      </c>
      <c r="BD11" s="619">
        <f>IF(ISNUMBER(Datos!N11),Datos!N11," - ")</f>
        <v>223</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0.9641255605381166</v>
      </c>
      <c r="BH11" s="669">
        <f>IF(ISNUMBER(((IF(J_V="SI",Datos!L11/Datos!K11,(Datos!L11+Datos!AB11)/(Datos!K11+Datos!AA11)))*11)/factor_trimestre),((IF(J_V="SI",Datos!L11/Datos!K11,(Datos!L11+Datos!AB11)/(Datos!K11+Datos!AA11)))*11)/factor_trimestre," - ")</f>
        <v>3.5720930232558135</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-6.3063063063063057E-2</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9</v>
      </c>
      <c r="F13" s="1044">
        <f t="shared" si="0"/>
        <v>45</v>
      </c>
      <c r="G13" s="1044">
        <f t="shared" si="0"/>
        <v>45</v>
      </c>
      <c r="H13" s="1045">
        <f t="shared" si="0"/>
        <v>0</v>
      </c>
      <c r="I13" s="1044">
        <f t="shared" si="0"/>
        <v>0</v>
      </c>
      <c r="J13" s="1013">
        <f t="shared" si="0"/>
        <v>0</v>
      </c>
      <c r="K13" s="1013">
        <f t="shared" si="0"/>
        <v>0</v>
      </c>
      <c r="L13" s="1045">
        <f t="shared" si="0"/>
        <v>0</v>
      </c>
      <c r="M13" s="1045">
        <f t="shared" si="0"/>
        <v>0</v>
      </c>
      <c r="N13" s="1045">
        <f t="shared" si="0"/>
        <v>314</v>
      </c>
      <c r="O13" s="1046">
        <f t="shared" si="0"/>
        <v>0</v>
      </c>
      <c r="P13" s="1046">
        <f t="shared" si="0"/>
        <v>0</v>
      </c>
      <c r="Q13" s="1045">
        <f t="shared" si="0"/>
        <v>696</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13</v>
      </c>
      <c r="AC13" s="1045">
        <f t="shared" si="1"/>
        <v>1025</v>
      </c>
      <c r="AD13" s="1045">
        <f t="shared" si="1"/>
        <v>0</v>
      </c>
      <c r="AE13" s="1045">
        <f t="shared" si="1"/>
        <v>0</v>
      </c>
      <c r="AF13" s="1045">
        <f t="shared" si="1"/>
        <v>54</v>
      </c>
      <c r="AG13" s="1045">
        <f t="shared" si="1"/>
        <v>0</v>
      </c>
      <c r="AH13" s="1045">
        <f t="shared" si="1"/>
        <v>290</v>
      </c>
      <c r="AI13" s="1045">
        <f t="shared" si="1"/>
        <v>0</v>
      </c>
      <c r="AJ13" s="1045">
        <f t="shared" si="1"/>
        <v>0</v>
      </c>
      <c r="AK13" s="1045">
        <f t="shared" si="1"/>
        <v>0</v>
      </c>
      <c r="AL13" s="1045">
        <f t="shared" si="1"/>
        <v>0</v>
      </c>
      <c r="AM13" s="1045">
        <f t="shared" si="1"/>
        <v>15215</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523</v>
      </c>
      <c r="BD13" s="1045">
        <f t="shared" si="1"/>
        <v>1785</v>
      </c>
      <c r="BE13" s="1045">
        <f t="shared" si="1"/>
        <v>0</v>
      </c>
      <c r="BF13" s="1045">
        <f t="shared" si="1"/>
        <v>0</v>
      </c>
      <c r="BG13" s="1045">
        <f>IF(ISNUMBER(Datos!K13/Datos!J13),Datos!K13/Datos!J13," - ")</f>
        <v>0.92390968141045471</v>
      </c>
      <c r="BH13" s="1049">
        <f>IF(ISNUMBER(((Datos!L13/Datos!K13)*11)/factor_trimestre),((Datos!L13/Datos!K13)*11)/factor_trimestre," - ")</f>
        <v>5.6042852360227657</v>
      </c>
      <c r="BI13" s="1045">
        <f>IF(ISNUMBER('Resol  Asuntos'!D13/NºAsuntos!G13),'Resol  Asuntos'!D13/NºAsuntos!G13," - ")</f>
        <v>0.1605279312461633</v>
      </c>
      <c r="BJ13" s="1045" t="str">
        <f>IF(ISNUMBER(Datos!CI13/Datos!CJ13),Datos!CI13/Datos!CJ13," - ")</f>
        <v xml:space="preserve"> - </v>
      </c>
      <c r="BK13" s="1045">
        <f>SUBTOTAL(9,BK8:BK12)</f>
        <v>0</v>
      </c>
      <c r="BL13" s="1045">
        <f>IF(ISNUMBER((I13-AB13+L13)/(F13)),(I13-AB13+L13)/(F13)," - ")</f>
        <v>-0.28888888888888886</v>
      </c>
      <c r="BM13" s="1050">
        <f>SUBTOTAL(9,BM9:BM12)</f>
        <v>-5.3517188832267595E-2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5</v>
      </c>
      <c r="B15" s="646" t="s">
        <v>400</v>
      </c>
      <c r="C15" s="656" t="str">
        <f>Datos!A15</f>
        <v xml:space="preserve">Jdos. Instrucción                               </v>
      </c>
      <c r="D15" s="657"/>
      <c r="E15" s="1330">
        <f>IF(ISNUMBER(Datos!AQ15),Datos!AQ15," - ")</f>
        <v>5</v>
      </c>
      <c r="F15" s="647">
        <f>IF(ISNUMBER(AF15+AB15-Datos!J15-L15),AF15+AB15-Datos!J15-L15," - ")</f>
        <v>2508</v>
      </c>
      <c r="G15" s="650">
        <f>IF(ISNUMBER(IF(D_I="SI",Datos!I15,Datos!I15+Datos!AC15)),IF(D_I="SI",Datos!I15,Datos!I15+Datos!AC15)," - ")</f>
        <v>2456</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132</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3890</v>
      </c>
      <c r="AC15" s="230">
        <f>IF(ISNUMBER(Datos!Q15),Datos!Q15," - ")</f>
        <v>127</v>
      </c>
      <c r="AD15" s="343"/>
      <c r="AE15" s="515"/>
      <c r="AF15" s="648">
        <f>IF(ISNUMBER(IF(D_I="SI",Datos!L15,Datos!L15+Datos!AF15)),IF(D_I="SI",Datos!L15,Datos!L15+Datos!AF15)," - ")</f>
        <v>2752</v>
      </c>
      <c r="AG15" s="343"/>
      <c r="AH15" s="343"/>
      <c r="AI15" s="343"/>
      <c r="AJ15" s="503"/>
      <c r="AK15" s="343"/>
      <c r="AL15" s="499"/>
      <c r="AM15" s="344">
        <f>IF(ISNUMBER(Datos!R15),Datos!R15," - ")</f>
        <v>582</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297</v>
      </c>
      <c r="BD15" s="233">
        <f>IF(ISNUMBER(Datos!N15),Datos!N15," - ")</f>
        <v>2614</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0.94097726173197871</v>
      </c>
      <c r="BH15" s="669">
        <f>IF(ISNUMBER(((IF(D_I="SI",Datos!L15/Datos!K15,(Datos!L15+Datos!AF15)/(Datos!K15+Datos!AE15)))*11)/factor_trimestre),((IF(D_I="SI",Datos!L15/Datos!K15,(Datos!L15+Datos!AF15)/(Datos!K15+Datos!AE15)))*11)/factor_trimestre," - ")</f>
        <v>1.4149100257069409</v>
      </c>
      <c r="BI15" s="247">
        <f>IF(ISNUMBER('Resol  Asuntos'!D15/NºAsuntos!G15),'Resol  Asuntos'!D15/NºAsuntos!G15," - ")</f>
        <v>7.6349614395886889E-2</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208</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307</v>
      </c>
      <c r="AC17" s="501">
        <f>IF(ISNUMBER(Datos!Q17),Datos!Q17," - ")</f>
        <v>2</v>
      </c>
      <c r="AD17" s="503"/>
      <c r="AE17" s="515"/>
      <c r="AF17" s="505">
        <f>IF(ISNUMBER(Datos!L17),Datos!L17,"-")</f>
        <v>270</v>
      </c>
      <c r="AG17" s="503"/>
      <c r="AH17" s="503"/>
      <c r="AI17" s="503"/>
      <c r="AJ17" s="503"/>
      <c r="AK17" s="503"/>
      <c r="AL17" s="504"/>
      <c r="AM17" s="671">
        <f>IF(ISNUMBER(Datos!R17),Datos!R17," - ")</f>
        <v>4</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22</v>
      </c>
      <c r="BD17" s="619">
        <f>IF(ISNUMBER(Datos!N17),Datos!N17," - ")</f>
        <v>197</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0.83879781420765032</v>
      </c>
      <c r="BH17" s="669">
        <f>IF(ISNUMBER(((IF(D_I="SI",Datos!L17/Datos!K17,(Datos!L17+Datos!AF17)/(Datos!K17+Datos!AE17)))*11)/factor_trimestre),((IF(D_I="SI",Datos!L17/Datos!K17,(Datos!L17+Datos!AF17)/(Datos!K17+Datos!AE17)))*11)/factor_trimestre," - ")</f>
        <v>1.7589576547231269</v>
      </c>
      <c r="BI17" s="668">
        <f>IF(ISNUMBER('Resol  Asuntos'!D17/NºAsuntos!G17),'Resol  Asuntos'!D17/NºAsuntos!G17," - ")</f>
        <v>7.1661237785016291E-2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6</v>
      </c>
      <c r="F18" s="1044">
        <f>SUBTOTAL(9,F15:F17)</f>
        <v>2508</v>
      </c>
      <c r="G18" s="1044">
        <f>SUBTOTAL(9,G15:G17)</f>
        <v>2664</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132</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4197</v>
      </c>
      <c r="AC18" s="1045">
        <f t="shared" si="4"/>
        <v>129</v>
      </c>
      <c r="AD18" s="1045">
        <f t="shared" si="4"/>
        <v>0</v>
      </c>
      <c r="AE18" s="1045">
        <f t="shared" si="4"/>
        <v>0</v>
      </c>
      <c r="AF18" s="1045">
        <f t="shared" si="4"/>
        <v>3022</v>
      </c>
      <c r="AG18" s="1045">
        <f t="shared" si="4"/>
        <v>0</v>
      </c>
      <c r="AH18" s="1045">
        <f t="shared" si="4"/>
        <v>0</v>
      </c>
      <c r="AI18" s="1045">
        <f t="shared" si="4"/>
        <v>0</v>
      </c>
      <c r="AJ18" s="1045">
        <f t="shared" si="4"/>
        <v>0</v>
      </c>
      <c r="AK18" s="1045">
        <f t="shared" si="4"/>
        <v>0</v>
      </c>
      <c r="AL18" s="1045">
        <f t="shared" si="4"/>
        <v>0</v>
      </c>
      <c r="AM18" s="1045">
        <f t="shared" si="4"/>
        <v>586</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319</v>
      </c>
      <c r="BD18" s="1045">
        <f t="shared" si="4"/>
        <v>2811</v>
      </c>
      <c r="BE18" s="1045">
        <f t="shared" si="4"/>
        <v>0</v>
      </c>
      <c r="BF18" s="1045">
        <f t="shared" si="4"/>
        <v>0</v>
      </c>
      <c r="BG18" s="1045">
        <f>IF(ISNUMBER(Datos!K18/Datos!J18),Datos!K18/Datos!J18," - ")</f>
        <v>0.93266666666666664</v>
      </c>
      <c r="BH18" s="1049">
        <f>IF(ISNUMBER(((Datos!L18/Datos!K18)*11)/factor_trimestre),((Datos!L18/Datos!K18)*11)/factor_trimestre," - ")</f>
        <v>1.4400762449368596</v>
      </c>
      <c r="BI18" s="1045">
        <f>SUBTOTAL(9,BI15:BI17)</f>
        <v>0.14801085218090318</v>
      </c>
      <c r="BJ18" s="1045">
        <f>SUBTOTAL(9,BJ15:BJ17)</f>
        <v>0</v>
      </c>
      <c r="BK18" s="1045">
        <f>SUBTOTAL(9,BK15:BK17)</f>
        <v>0</v>
      </c>
      <c r="BL18" s="1045">
        <f>IF(ISNUMBER((I18-AB18+L18)/(F18)),(I18-AB18+L18)/(F18)," - ")</f>
        <v>-1.6734449760765551</v>
      </c>
      <c r="BM18" s="1051">
        <f>IF(ISNUMBER((Datos!P18-Datos!Q18)/(Datos!R18-Datos!P18+Datos!Q18)),(Datos!P18-Datos!Q18)/(Datos!R18-Datos!P18+Datos!Q18)," - ")</f>
        <v>5.1457975986277877E-3</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15</v>
      </c>
      <c r="F19" s="966">
        <f t="shared" si="6"/>
        <v>2553</v>
      </c>
      <c r="G19" s="966">
        <f t="shared" si="6"/>
        <v>2709</v>
      </c>
      <c r="H19" s="968">
        <f t="shared" si="6"/>
        <v>0</v>
      </c>
      <c r="I19" s="966">
        <f t="shared" si="6"/>
        <v>0</v>
      </c>
      <c r="J19" s="968">
        <f t="shared" si="6"/>
        <v>0</v>
      </c>
      <c r="K19" s="968">
        <f t="shared" si="6"/>
        <v>0</v>
      </c>
      <c r="L19" s="1027">
        <f t="shared" si="6"/>
        <v>0</v>
      </c>
      <c r="M19" s="1027">
        <f t="shared" si="6"/>
        <v>0</v>
      </c>
      <c r="N19" s="1027">
        <f t="shared" si="6"/>
        <v>314</v>
      </c>
      <c r="O19" s="1027">
        <f t="shared" si="6"/>
        <v>0</v>
      </c>
      <c r="P19" s="1027">
        <f t="shared" si="6"/>
        <v>0</v>
      </c>
      <c r="Q19" s="968">
        <f t="shared" si="6"/>
        <v>828</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4210</v>
      </c>
      <c r="AC19" s="967">
        <f t="shared" si="7"/>
        <v>1154</v>
      </c>
      <c r="AD19" s="967">
        <f t="shared" si="7"/>
        <v>0</v>
      </c>
      <c r="AE19" s="967">
        <f t="shared" si="7"/>
        <v>0</v>
      </c>
      <c r="AF19" s="974">
        <f t="shared" si="7"/>
        <v>3076</v>
      </c>
      <c r="AG19" s="974">
        <f t="shared" si="7"/>
        <v>0</v>
      </c>
      <c r="AH19" s="974">
        <f t="shared" si="7"/>
        <v>290</v>
      </c>
      <c r="AI19" s="974">
        <f t="shared" si="7"/>
        <v>0</v>
      </c>
      <c r="AJ19" s="967">
        <f t="shared" si="7"/>
        <v>0</v>
      </c>
      <c r="AK19" s="974">
        <f t="shared" si="7"/>
        <v>0</v>
      </c>
      <c r="AL19" s="974">
        <f t="shared" si="7"/>
        <v>0</v>
      </c>
      <c r="AM19" s="974">
        <f t="shared" si="7"/>
        <v>15801</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842</v>
      </c>
      <c r="BD19" s="966">
        <f t="shared" si="7"/>
        <v>4596</v>
      </c>
      <c r="BE19" s="966">
        <f t="shared" si="7"/>
        <v>0</v>
      </c>
      <c r="BF19" s="976">
        <f t="shared" si="7"/>
        <v>0</v>
      </c>
      <c r="BG19" s="1061">
        <f>IF(ISNUMBER(Datos!K19/Datos!J19),Datos!K19/Datos!J19," - ")</f>
        <v>0.92900556058450801</v>
      </c>
      <c r="BH19" s="1061">
        <f>IF(ISNUMBER(((Datos!L19/Datos!K19)*11)/factor_trimestre),((Datos!L19/Datos!K19)*11)/factor_trimestre," - ")</f>
        <v>3.1714922048997773</v>
      </c>
      <c r="BI19" s="959">
        <f>IF(ISNUMBER(Datos!J19/Datos!I19),Datos!J19/Datos!I19," - ")</f>
        <v>0.71821305841924399</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-1.6490403446925186</v>
      </c>
      <c r="BM19" s="1035">
        <f>IF(ISNUMBER((Datos!P19-Datos!Q19+R19)/(Datos!R19-Datos!P19+Datos!Q19-R19)),(Datos!P19-Datos!Q19+R19)/(Datos!R19-Datos!P19+Datos!Q19-R19)," - ")</f>
        <v>-2.0214547032926147E-2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1083.5999999999999</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3.2403703492039302</v>
      </c>
      <c r="F21" s="599">
        <f>IF(ISNUMBER(STDEV(F8:F18)),STDEV(F8:F18),"-")</f>
        <v>1422.0137130140483</v>
      </c>
      <c r="G21" s="600">
        <f>IF(ISNUMBER(STDEV(G8:G18)),STDEV(G8:G18),"-")</f>
        <v>1351.4067855386845</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2159.9893518256058</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196.7433668029303</v>
      </c>
      <c r="BD21" s="599"/>
      <c r="BE21" s="599">
        <f>IF(ISNUMBER(STDEV(BE8:BE18)),STDEV(BE8:BE18),"-")</f>
        <v>0</v>
      </c>
      <c r="BF21" s="604">
        <f>IF(ISNUMBER(STDEV(BF8:BF18)),STDEV(BF8:BF18),"-")</f>
        <v>0</v>
      </c>
      <c r="BG21" s="914">
        <f>IF(ISNUMBER(STDEV(BG8:BG18)),STDEV(BG8:BG18),"-")</f>
        <v>0.13007681533113755</v>
      </c>
      <c r="BH21" s="918">
        <f>IF(ISNUMBER(STDEV(BH8:BH18)),STDEV(BH8:BH18),"-")</f>
        <v>2.6462645399463156</v>
      </c>
      <c r="BI21" s="253">
        <f>IF(ISNUMBER(STDEV(BI8:BI18)),STDEV(BI8:BI18),"-")</f>
        <v>4.6660594543036317E-2</v>
      </c>
      <c r="BJ21" s="234" t="str">
        <f>IF(ISNUMBER(BL21/BM21),BL21/BM21," - ")</f>
        <v xml:space="preserve"> - </v>
      </c>
      <c r="BK21" s="626"/>
      <c r="BL21" s="607">
        <f>IF(ISNUMBER(STDEV(BL8:BL18)),STDEV(BL8:BL18),"-")</f>
        <v>0.97902899818351152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mWYizc+Tz78M77uilXXxMsDBMJDE/AwJWq7WHIxkRBLx8WZAQMqjA+VTV1LrdShlCcn4TSuOLvtpI9DdkNhDSQ==" saltValue="clddifZZ9JqxwzlzGL2wx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CATALUÑA</v>
      </c>
    </row>
    <row r="2" spans="1:73" ht="16.5" customHeight="1">
      <c r="C2" s="574" t="str">
        <f>Criterios!A10 &amp;"  "&amp;Criterios!B10 &amp; "  " &amp; IF(NOT(ISBLANK(Criterios!A11)),Criterios!A11 &amp;"  "&amp;Criterios!B11,"")</f>
        <v>Provincias  BARCELONA  Resumenes por Partidos Judiciales  BADALONA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6</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656</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939</v>
      </c>
      <c r="AA9" s="505" t="str">
        <f>IF(ISNUMBER(IF(J_V="SI",Datos!L9,Datos!L9+Datos!AB9)-IF(Monitorios="SI",Datos!CD9,0)),
                          IF(J_V="SI",Datos!L9,Datos!L9+Datos!AB9)-IF(Monitorios="SI",Datos!CD9,0),
                          " - ")</f>
        <v xml:space="preserve"> - </v>
      </c>
      <c r="AB9" s="503"/>
      <c r="AC9" s="503"/>
      <c r="AD9" s="516"/>
      <c r="AE9" s="516">
        <f>IF(ISNUMBER(Datos!R9),Datos!R9," - ")</f>
        <v>14380</v>
      </c>
      <c r="AF9" s="619" t="str">
        <f>IF(ISNUMBER(Datos!BV9),Datos!BV9," - ")</f>
        <v xml:space="preserve"> - </v>
      </c>
      <c r="AG9" s="506" t="str">
        <f>IF(ISNUMBER(Datos!DV9),Datos!DV9," - ")</f>
        <v xml:space="preserve"> - </v>
      </c>
      <c r="AH9" s="507"/>
      <c r="AI9" s="508"/>
      <c r="AJ9" s="506">
        <f>IF(ISNUMBER(Datos!M9),Datos!M9," - ")</f>
        <v>399</v>
      </c>
      <c r="AK9" s="619">
        <f>IF(ISNUMBER(Datos!N9),Datos!N9," - ")</f>
        <v>1556</v>
      </c>
      <c r="AL9" s="619" t="str">
        <f>IF(ISNUMBER(Datos!BW9),Datos!BW9," - ")</f>
        <v xml:space="preserve"> - </v>
      </c>
      <c r="AM9" s="667" t="str">
        <f>IF(ISNUMBER(Datos!BX9),Datos!BX9," - ")</f>
        <v xml:space="preserve"> - </v>
      </c>
      <c r="AN9" s="668"/>
      <c r="AO9" s="669">
        <f>IF(ISNUMBER(((NºAsuntos!I9/NºAsuntos!G9)*11)/factor_trimestre),((NºAsuntos!I9/NºAsuntos!G9)*11)/factor_trimestre," - ")</f>
        <v>5.5687388987566608</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-1.9300279615358386E-2</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1</v>
      </c>
      <c r="F10" s="506">
        <f>IF(ISNUMBER(Datos!L10+Datos!K10-Datos!J10),Datos!L10+Datos!K10-Datos!J10," - ")</f>
        <v>45</v>
      </c>
      <c r="G10" s="506">
        <f>IF(ISNUMBER(Datos!I10),Datos!I10," - ")</f>
        <v>45</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3</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13</v>
      </c>
      <c r="Z10" s="703">
        <f>IF(ISNUMBER(Datos!Q10),Datos!Q10," - ")</f>
        <v>0</v>
      </c>
      <c r="AA10" s="505">
        <f>IF(ISNUMBER(Datos!L10),Datos!L10,"-")</f>
        <v>54</v>
      </c>
      <c r="AB10" s="503"/>
      <c r="AC10" s="503"/>
      <c r="AD10" s="516"/>
      <c r="AE10" s="516">
        <f>IF(ISNUMBER(Datos!R10),Datos!R10," - ")</f>
        <v>107</v>
      </c>
      <c r="AF10" s="619" t="str">
        <f>IF(ISNUMBER(Datos!BV10),Datos!BV10," - ")</f>
        <v xml:space="preserve"> - </v>
      </c>
      <c r="AG10" s="506" t="str">
        <f>IF(ISNUMBER(Datos!DV10),Datos!DV10," - ")</f>
        <v xml:space="preserve"> - </v>
      </c>
      <c r="AH10" s="507"/>
      <c r="AI10" s="508"/>
      <c r="AJ10" s="506">
        <f>IF(ISNUMBER(Datos!M10),Datos!M10," - ")</f>
        <v>5</v>
      </c>
      <c r="AK10" s="619">
        <f>IF(ISNUMBER(Datos!N10),Datos!N10," - ")</f>
        <v>6</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8.3076923076923084</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2.8846153846153848E-2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2</v>
      </c>
      <c r="B11" s="653" t="s">
        <v>249</v>
      </c>
      <c r="C11" s="654" t="str">
        <f>Datos!A11</f>
        <v xml:space="preserve">Jdos. Familia                                   </v>
      </c>
      <c r="D11" s="548"/>
      <c r="E11" s="1333">
        <f>IF(ISNUMBER(Datos!AQ11),Datos!AQ11," - ")</f>
        <v>2</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37</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86</v>
      </c>
      <c r="AA11" s="505" t="str">
        <f>IF(ISNUMBER(IF(J_V="SI",Datos!L11,Datos!L11+Datos!AB11)-IF(Monitorios="SI",Datos!CD11,0)),
                          IF(J_V="SI",Datos!L11,Datos!L11+Datos!AB11)-IF(Monitorios="SI",Datos!CD11,0),
                          " - ")</f>
        <v xml:space="preserve"> - </v>
      </c>
      <c r="AB11" s="503"/>
      <c r="AC11" s="503"/>
      <c r="AD11" s="516"/>
      <c r="AE11" s="516">
        <f>IF(ISNUMBER(Datos!R11),Datos!R11," - ")</f>
        <v>728</v>
      </c>
      <c r="AF11" s="619" t="str">
        <f>IF(ISNUMBER(Datos!BV11),Datos!BV11," - ")</f>
        <v xml:space="preserve"> - </v>
      </c>
      <c r="AG11" s="506" t="str">
        <f>IF(ISNUMBER(Datos!DV11),Datos!DV11," - ")</f>
        <v xml:space="preserve"> - </v>
      </c>
      <c r="AH11" s="507"/>
      <c r="AI11" s="508"/>
      <c r="AJ11" s="506">
        <f>IF(ISNUMBER(Datos!M11),Datos!M11," - ")</f>
        <v>119</v>
      </c>
      <c r="AK11" s="619">
        <f>IF(ISNUMBER(Datos!N11),Datos!N11," - ")</f>
        <v>223</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3.5720930232558135</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-6.3063063063063057E-2</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9</v>
      </c>
      <c r="F13" s="1044">
        <f>SUBTOTAL(9,F8:F12)</f>
        <v>45</v>
      </c>
      <c r="G13" s="1044">
        <f>SUBTOTAL(9,G8:G12)</f>
        <v>45</v>
      </c>
      <c r="H13" s="1054"/>
      <c r="I13" s="1044">
        <f t="shared" ref="I13:N13" si="0">SUBTOTAL(9,I8:I12)</f>
        <v>0</v>
      </c>
      <c r="J13" s="1013">
        <f t="shared" si="0"/>
        <v>0</v>
      </c>
      <c r="K13" s="1054">
        <f t="shared" si="0"/>
        <v>0</v>
      </c>
      <c r="L13" s="1054">
        <f t="shared" si="0"/>
        <v>0</v>
      </c>
      <c r="M13" s="1054">
        <f t="shared" si="0"/>
        <v>0</v>
      </c>
      <c r="N13" s="1054">
        <f t="shared" si="0"/>
        <v>696</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13</v>
      </c>
      <c r="Z13" s="1053">
        <f t="shared" si="2"/>
        <v>1025</v>
      </c>
      <c r="AA13" s="1046">
        <f t="shared" si="2"/>
        <v>54</v>
      </c>
      <c r="AB13" s="1046">
        <f t="shared" si="2"/>
        <v>0</v>
      </c>
      <c r="AC13" s="1046">
        <f t="shared" si="2"/>
        <v>0</v>
      </c>
      <c r="AD13" s="1046">
        <f t="shared" si="2"/>
        <v>0</v>
      </c>
      <c r="AE13" s="1046">
        <f t="shared" si="2"/>
        <v>15215</v>
      </c>
      <c r="AF13" s="1054">
        <f t="shared" si="2"/>
        <v>0</v>
      </c>
      <c r="AG13" s="1054">
        <f t="shared" si="2"/>
        <v>0</v>
      </c>
      <c r="AH13" s="1054">
        <f t="shared" si="2"/>
        <v>0</v>
      </c>
      <c r="AI13" s="1054">
        <f t="shared" si="2"/>
        <v>0</v>
      </c>
      <c r="AJ13" s="1054">
        <f t="shared" si="2"/>
        <v>523</v>
      </c>
      <c r="AK13" s="1054">
        <f t="shared" si="2"/>
        <v>1785</v>
      </c>
      <c r="AL13" s="1054">
        <f t="shared" si="2"/>
        <v>0</v>
      </c>
      <c r="AM13" s="1054">
        <f t="shared" si="2"/>
        <v>0</v>
      </c>
      <c r="AN13" s="1054">
        <f t="shared" si="2"/>
        <v>0</v>
      </c>
      <c r="AO13" s="1050">
        <f>IF(ISNUMBER(((NºAsuntos!I13/NºAsuntos!G13)*11)/factor_trimestre),((NºAsuntos!I13/NºAsuntos!G13)*11)/factor_trimestre," - ")</f>
        <v>5.3161448741559241</v>
      </c>
      <c r="AP13" s="1056" t="str">
        <f>IF(ISNUMBER(Datos!CI13/Datos!CJ13),Datos!CI13/Datos!CJ13," - ")</f>
        <v xml:space="preserve"> - </v>
      </c>
      <c r="AQ13" s="1074">
        <f t="shared" ref="AQ13:AV13" si="3">SUBTOTAL(9,AQ9:AQ12)</f>
        <v>0</v>
      </c>
      <c r="AR13" s="1074">
        <f t="shared" si="3"/>
        <v>-5.3517188832267595E-2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5</v>
      </c>
      <c r="B15" s="653" t="s">
        <v>400</v>
      </c>
      <c r="C15" s="670" t="str">
        <f>Datos!A15</f>
        <v xml:space="preserve">Jdos. Instrucción                               </v>
      </c>
      <c r="D15" s="543"/>
      <c r="E15" s="1333">
        <f>IF(ISNUMBER(Datos!AQ15),Datos!AQ15," - ")</f>
        <v>5</v>
      </c>
      <c r="F15" s="497">
        <f>IF(ISNUMBER(AA15+Y15-Datos!J15-K15),AA15+Y15-Datos!J15-K15," - ")</f>
        <v>2508</v>
      </c>
      <c r="G15" s="506">
        <f>IF(ISNUMBER(IF(D_I="SI",Datos!I15,Datos!I15+Datos!AC15)),IF(D_I="SI",Datos!I15,Datos!I15+Datos!AC15)," - ")</f>
        <v>2456</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132</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3890</v>
      </c>
      <c r="Z15" s="703">
        <f>IF(ISNUMBER(Datos!Q15),Datos!Q15," - ")</f>
        <v>127</v>
      </c>
      <c r="AA15" s="505">
        <f>IF(ISNUMBER(IF(D_I="SI",Datos!L15,Datos!L15+Datos!AF15)),IF(D_I="SI",Datos!L15,Datos!L15+Datos!AF15)," - ")</f>
        <v>2752</v>
      </c>
      <c r="AB15" s="503"/>
      <c r="AC15" s="503"/>
      <c r="AD15" s="516"/>
      <c r="AE15" s="516">
        <f>IF(ISNUMBER(Datos!R15),Datos!R15," - ")</f>
        <v>582</v>
      </c>
      <c r="AF15" s="619" t="str">
        <f>IF(ISNUMBER(Datos!BV15),Datos!BV15," - ")</f>
        <v xml:space="preserve"> - </v>
      </c>
      <c r="AG15" s="506"/>
      <c r="AH15" s="507"/>
      <c r="AI15" s="508"/>
      <c r="AJ15" s="506">
        <f>IF(ISNUMBER(Datos!M15),Datos!M15," - ")</f>
        <v>297</v>
      </c>
      <c r="AK15" s="619">
        <f>IF(ISNUMBER(Datos!N15),Datos!N15," - ")</f>
        <v>2614</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1.4149100257069409</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208</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307</v>
      </c>
      <c r="Z17" s="703">
        <f>IF(ISNUMBER(Datos!Q17),Datos!Q17," - ")</f>
        <v>2</v>
      </c>
      <c r="AA17" s="505">
        <f>IF(ISNUMBER(Datos!L17),Datos!L17,"-")</f>
        <v>270</v>
      </c>
      <c r="AB17" s="503"/>
      <c r="AC17" s="503"/>
      <c r="AD17" s="516"/>
      <c r="AE17" s="516">
        <f>IF(ISNUMBER(Datos!R17),Datos!R17," - ")</f>
        <v>4</v>
      </c>
      <c r="AF17" s="619" t="str">
        <f>IF(ISNUMBER(Datos!BV17),Datos!BV17," - ")</f>
        <v xml:space="preserve"> - </v>
      </c>
      <c r="AG17" s="506" t="str">
        <f>IF(ISNUMBER(Datos!DV17),Datos!DV17," - ")</f>
        <v xml:space="preserve"> - </v>
      </c>
      <c r="AH17" s="507"/>
      <c r="AI17" s="508"/>
      <c r="AJ17" s="506">
        <f>IF(ISNUMBER(Datos!M17),Datos!M17," - ")</f>
        <v>22</v>
      </c>
      <c r="AK17" s="619">
        <f>IF(ISNUMBER(Datos!N17),Datos!N17," - ")</f>
        <v>197</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1.7589576547231269</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6</v>
      </c>
      <c r="F18" s="1044">
        <f>SUBTOTAL(9,F15:F17)</f>
        <v>2508</v>
      </c>
      <c r="G18" s="1044">
        <f>SUBTOTAL(9,G15:G17)</f>
        <v>2664</v>
      </c>
      <c r="H18" s="1078">
        <f>SUBTOTAL(9,H15:H17)</f>
        <v>0</v>
      </c>
      <c r="I18" s="1057">
        <f>SUBTOTAL(9,I15:I17)</f>
        <v>0</v>
      </c>
      <c r="J18" s="1013">
        <f>SUBTOTAL(9,J14:J17)</f>
        <v>0</v>
      </c>
      <c r="K18" s="1078">
        <f t="shared" ref="K18:S18" si="4">SUBTOTAL(9,K15:K17)</f>
        <v>0</v>
      </c>
      <c r="L18" s="1078">
        <f t="shared" si="4"/>
        <v>0</v>
      </c>
      <c r="M18" s="1078">
        <f t="shared" si="4"/>
        <v>0</v>
      </c>
      <c r="N18" s="1078">
        <f t="shared" si="4"/>
        <v>132</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4197</v>
      </c>
      <c r="Z18" s="1078">
        <f t="shared" si="5"/>
        <v>129</v>
      </c>
      <c r="AA18" s="1078">
        <f t="shared" si="5"/>
        <v>3022</v>
      </c>
      <c r="AB18" s="1078">
        <f t="shared" si="5"/>
        <v>0</v>
      </c>
      <c r="AC18" s="1078">
        <f t="shared" si="5"/>
        <v>0</v>
      </c>
      <c r="AD18" s="1078">
        <f t="shared" si="5"/>
        <v>0</v>
      </c>
      <c r="AE18" s="1078">
        <f t="shared" si="5"/>
        <v>586</v>
      </c>
      <c r="AF18" s="1078">
        <f t="shared" si="5"/>
        <v>0</v>
      </c>
      <c r="AG18" s="1078">
        <f t="shared" si="5"/>
        <v>0</v>
      </c>
      <c r="AH18" s="1078">
        <f t="shared" si="5"/>
        <v>0</v>
      </c>
      <c r="AI18" s="1078">
        <f t="shared" si="5"/>
        <v>0</v>
      </c>
      <c r="AJ18" s="1078">
        <f t="shared" si="5"/>
        <v>319</v>
      </c>
      <c r="AK18" s="1078">
        <f t="shared" si="5"/>
        <v>2811</v>
      </c>
      <c r="AL18" s="1078">
        <f t="shared" si="5"/>
        <v>0</v>
      </c>
      <c r="AM18" s="1078">
        <f t="shared" si="5"/>
        <v>0</v>
      </c>
      <c r="AN18" s="1078">
        <f t="shared" si="5"/>
        <v>0</v>
      </c>
      <c r="AO18" s="1080">
        <f>IF(ISNUMBER(((NºAsuntos!I18/NºAsuntos!G18)*11)/factor_trimestre),((NºAsuntos!I18/NºAsuntos!G18)*11)/factor_trimestre," - ")</f>
        <v>1.4400762449368596</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15</v>
      </c>
      <c r="F19" s="966">
        <f t="shared" si="7"/>
        <v>2553</v>
      </c>
      <c r="G19" s="966">
        <f t="shared" si="7"/>
        <v>2709</v>
      </c>
      <c r="H19" s="967">
        <f t="shared" si="7"/>
        <v>0</v>
      </c>
      <c r="I19" s="966">
        <f t="shared" si="7"/>
        <v>0</v>
      </c>
      <c r="J19" s="968">
        <f t="shared" si="7"/>
        <v>0</v>
      </c>
      <c r="K19" s="966">
        <f t="shared" si="7"/>
        <v>0</v>
      </c>
      <c r="L19" s="969">
        <f t="shared" si="7"/>
        <v>0</v>
      </c>
      <c r="M19" s="966">
        <f t="shared" si="7"/>
        <v>0</v>
      </c>
      <c r="N19" s="967">
        <f t="shared" si="7"/>
        <v>828</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4210</v>
      </c>
      <c r="Z19" s="973">
        <f t="shared" si="8"/>
        <v>1154</v>
      </c>
      <c r="AA19" s="974">
        <f t="shared" si="8"/>
        <v>3076</v>
      </c>
      <c r="AB19" s="974">
        <f t="shared" si="8"/>
        <v>0</v>
      </c>
      <c r="AC19" s="974">
        <f t="shared" si="8"/>
        <v>0</v>
      </c>
      <c r="AD19" s="975">
        <f t="shared" si="8"/>
        <v>0</v>
      </c>
      <c r="AE19" s="975">
        <f t="shared" si="8"/>
        <v>15801</v>
      </c>
      <c r="AF19" s="976">
        <f t="shared" si="8"/>
        <v>0</v>
      </c>
      <c r="AG19" s="977">
        <f t="shared" si="8"/>
        <v>0</v>
      </c>
      <c r="AH19" s="978">
        <f t="shared" si="8"/>
        <v>0</v>
      </c>
      <c r="AI19" s="976">
        <f t="shared" si="8"/>
        <v>0</v>
      </c>
      <c r="AJ19" s="966">
        <f t="shared" si="8"/>
        <v>842</v>
      </c>
      <c r="AK19" s="966">
        <f t="shared" si="8"/>
        <v>4596</v>
      </c>
      <c r="AL19" s="966">
        <f t="shared" si="8"/>
        <v>0</v>
      </c>
      <c r="AM19" s="979">
        <f t="shared" si="8"/>
        <v>0</v>
      </c>
      <c r="AN19" s="969">
        <f>IF(ISNUMBER(Datos!K19/Datos!J19),Datos!K19/Datos!J19," - ")</f>
        <v>0.92900556058450801</v>
      </c>
      <c r="AO19" s="969">
        <f>IF(ISNUMBER(FIND("06",Criterios!A8,1)),(IF(ISNUMBER(((Datos!R19/Datos!Q19)*11)/factor_trimestre),((Datos!R19/Datos!Q19)*11)/factor_trimestre," - ")),(IF(ISNUMBER(((Datos!L19/Datos!K19)*11)/factor_trimestre),((Datos!L19/Datos!K19)*11)/factor_trimestre," - ")))</f>
        <v>3.1714922048997773</v>
      </c>
      <c r="AP19" s="980" t="str">
        <f>IF(ISNUMBER(Datos!CI19/Datos!CJ19),Datos!CI19/Datos!CJ19," - ")</f>
        <v xml:space="preserve"> - </v>
      </c>
      <c r="AQ19" s="980">
        <f>IF(OR(ISNUMBER(FIND("01",Criterios!A8,1)),ISNUMBER(FIND("02",Criterios!A8,1)),ISNUMBER(FIND("03",Criterios!A8,1)),ISNUMBER(FIND("04",Criterios!A8,1))),(J19-Y19+K19)/(F19-K19),(I19-Y19+K19)/(F19-K19))</f>
        <v>-1.6490403446925186</v>
      </c>
      <c r="AR19" s="980">
        <f>IF(ISNUMBER((Datos!P19-Datos!Q19+O19)/(Datos!R19-Datos!P19+Datos!Q19-O19)),(Datos!P19-Datos!Q19+O19)/(Datos!R19-Datos!P19+Datos!Q19-O19)," - ")</f>
        <v>-2.0214547032926147E-2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1083.5999999999999</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1422.0137130140483</v>
      </c>
      <c r="G21" s="600">
        <f>IF(ISNUMBER(STDEV(G8:G18)),STDEV(G8:G18),"-")</f>
        <v>1351.4067855386845</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196.7433668029303</v>
      </c>
      <c r="AK21" s="256"/>
      <c r="AL21" s="256">
        <f>IF(ISNUMBER(STDEV(AL8:AL18)),STDEV(AL8:AL18),"-")</f>
        <v>0</v>
      </c>
      <c r="AM21" s="258">
        <f>IF(ISNUMBER(STDEV(AM8:AM18)),STDEV(AM8:AM18),"-")</f>
        <v>0</v>
      </c>
      <c r="AN21" s="586">
        <f>IF(ISNUMBER(STDEV(AN8:AN18)),STDEV(AN8:AN18),"-")</f>
        <v>0</v>
      </c>
      <c r="AO21" s="587">
        <f>IF(ISNUMBER(STDEV(AO8:AO18)),STDEV(AO8:AO18),"-")</f>
        <v>2.6183807594419841</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tKPTKN9LTkVAKlDJ8rZ3RlxUoV42Gdq3puxZLsPnmrk4rPzJ/lcvleK2GGQd7PG2Tf0EnAhGAJt11gdnAQu/JQ==" saltValue="4CWtVRh5qcDxiDnZv5Obb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LAzMeN3mEWYiS9ixMkrCj2yMSCi8y4SYVZiJ0oO/fxKS9bdTgQTP7OSUaUwWN0VrEe/BNAMPx7IrZz4KoYzeiA==" saltValue="Uq/itR9fBhJIGp8Rbq9rw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LC95IHjvD0JpPFwqNlD4n7ea0PvYQaXh1yNktf4ML8ttMWVr4ijAzHQkPi4nI7UtV+FJ/T0vU2aWbZ/zZHJ32g==" saltValue="D0k9GLhXhlPRHQQjrJLZf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CATALUÑA</v>
      </c>
      <c r="F1" s="752"/>
    </row>
    <row r="2" spans="1:75" ht="16.5" customHeight="1">
      <c r="C2" s="520" t="str">
        <f>Criterios!A10 &amp;"  "&amp;Criterios!B10 &amp; "  " &amp; IF(NOT(ISBLANK(Criterios!A11)),Criterios!A11 &amp;"  "&amp;Criterios!B11,"")</f>
        <v>Provincias  BARCELONA  Resumenes por Partidos Judiciales  BADALONA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0.1605279312461633</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0.11351038875400994</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Ai5p3/czGsLT5bYMq/IpwWIALuoG7/LghcsSr02zSZnL64WYHxU4dGPsCetI6MmxK/rNVaRFHrTakO24NFqH6w==" saltValue="b3B1i28o0Tm2sHM5TLTI2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6G+ug/e4ngn+D34M+4NtwoX6vcLavxE5tDr+kXsNpQaKagGT6fR6AEUELrgZt+fXGC3oldrpmt4V/CEWmDhR0g==" saltValue="GIPOoVMivd0sfkDqoLmII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CATALUÑA</v>
      </c>
      <c r="C2" s="399"/>
      <c r="D2" s="399"/>
      <c r="E2" s="399"/>
      <c r="F2" s="399"/>
    </row>
    <row r="3" spans="1:14" ht="19.5">
      <c r="A3" s="401" t="s">
        <v>115</v>
      </c>
      <c r="B3" s="402" t="str">
        <f>Criterios!A10 &amp;"  "&amp;Criterios!B10</f>
        <v>Provincias  BARCELONA</v>
      </c>
      <c r="D3" s="399"/>
      <c r="E3" s="399"/>
      <c r="F3" s="399"/>
    </row>
    <row r="4" spans="1:14" ht="13.5" thickBot="1">
      <c r="A4" s="399"/>
      <c r="B4" s="402" t="str">
        <f>Criterios!A11 &amp;"  "&amp;Criterios!B11</f>
        <v>Resumenes por Partidos Judiciales  BADALONA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6</v>
      </c>
      <c r="C9" s="414">
        <f>IF(ISNUMBER(IF(J_V="SI",Datos!I9,Datos!I9+Datos!Y9)),IF(J_V="SI",Datos!I9,Datos!I9+Datos!Y9)," - ")</f>
        <v>7553</v>
      </c>
      <c r="D9" s="415">
        <f>IF(ISNUMBER(C9/Datos!BH9),C9/Datos!BH9," - ")</f>
        <v>1258.8333333333333</v>
      </c>
      <c r="E9" s="414">
        <f>IF(ISNUMBER(IF(J_V="SI",Datos!J9,Datos!J9+Datos!Z9)),IF(J_V="SI",Datos!J9,Datos!J9+Datos!Z9)," - ")</f>
        <v>3079</v>
      </c>
      <c r="F9" s="415">
        <f>IF(ISNUMBER(E9/B9),E9/B9," - ")</f>
        <v>513.16666666666663</v>
      </c>
      <c r="G9" s="414">
        <f>IF(ISNUMBER(IF(J_V="SI",Datos!K9,Datos!K9+Datos!AA9)),IF(J_V="SI",Datos!K9,Datos!K9+Datos!AA9)," - ")</f>
        <v>2815</v>
      </c>
      <c r="H9" s="415">
        <f>IF(ISNUMBER(G9/B9),G9/B9," - ")</f>
        <v>469.16666666666669</v>
      </c>
      <c r="I9" s="414">
        <f>IF(ISNUMBER(IF(J_V="SI",Datos!L9,Datos!L9+Datos!AB9)),IF(J_V="SI",Datos!L9,Datos!L9+Datos!AB9)," - ")</f>
        <v>7838</v>
      </c>
      <c r="J9" s="415">
        <f>IF(ISNUMBER(I9/B9),I9/B9," - ")</f>
        <v>1306.3333333333333</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45</v>
      </c>
      <c r="D10" s="415">
        <f>IF(ISNUMBER(C10/Datos!BH10),C10/Datos!BH10," - ")</f>
        <v>45</v>
      </c>
      <c r="E10" s="414">
        <f>IF(ISNUMBER(Datos!J10),Datos!J10," - ")</f>
        <v>22</v>
      </c>
      <c r="F10" s="415">
        <f>IF(ISNUMBER(E10/B10),E10/B10," - ")</f>
        <v>22</v>
      </c>
      <c r="G10" s="414">
        <f>IF(ISNUMBER(Datos!K10),Datos!K10," - ")</f>
        <v>13</v>
      </c>
      <c r="H10" s="415">
        <f>IF(ISNUMBER(G10/B10),G10/B10," - ")</f>
        <v>13</v>
      </c>
      <c r="I10" s="414">
        <f>IF(ISNUMBER(Datos!L10),Datos!L10," - ")</f>
        <v>54</v>
      </c>
      <c r="J10" s="415">
        <f>IF(ISNUMBER(I10/B10),I10/B10," - ")</f>
        <v>54</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2</v>
      </c>
      <c r="C11" s="414">
        <f>IF(ISNUMBER(IF(J_V="SI",Datos!I11,Datos!I11+Datos!Y11)),IF(J_V="SI",Datos!I11,Datos!I11+Datos!Y11)," - ")</f>
        <v>752</v>
      </c>
      <c r="D11" s="415">
        <f>IF(ISNUMBER(C11/Datos!BH11),C11/Datos!BH11," - ")</f>
        <v>376</v>
      </c>
      <c r="E11" s="414">
        <f>IF(ISNUMBER(IF(J_V="SI",Datos!J11,Datos!J11+Datos!Z11)),IF(J_V="SI",Datos!J11,Datos!J11+Datos!Z11)," - ")</f>
        <v>446</v>
      </c>
      <c r="F11" s="415">
        <f>IF(ISNUMBER(E11/B11),E11/B11," - ")</f>
        <v>223</v>
      </c>
      <c r="G11" s="414">
        <f>IF(ISNUMBER(IF(J_V="SI",Datos!K11,Datos!K11+Datos!AA11)),IF(J_V="SI",Datos!K11,Datos!K11+Datos!AA11)," - ")</f>
        <v>430</v>
      </c>
      <c r="H11" s="415">
        <f>IF(ISNUMBER(G11/B11),G11/B11," - ")</f>
        <v>215</v>
      </c>
      <c r="I11" s="414">
        <f>IF(ISNUMBER(IF(J_V="SI",Datos!L11,Datos!L11+Datos!AB11)),IF(J_V="SI",Datos!L11,Datos!L11+Datos!AB11)," - ")</f>
        <v>768</v>
      </c>
      <c r="J11" s="415">
        <f>IF(ISNUMBER(I11/B11),I11/B11," - ")</f>
        <v>384</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9</v>
      </c>
      <c r="C13" s="995">
        <f>SUBTOTAL(9,C8:C12)</f>
        <v>8350</v>
      </c>
      <c r="D13" s="996" t="str">
        <f>IF(ISNUMBER(C13/Datos!BI13),C13/Datos!BI13," - ")</f>
        <v xml:space="preserve"> - </v>
      </c>
      <c r="E13" s="995">
        <f>SUBTOTAL(9,E8:E12)</f>
        <v>3547</v>
      </c>
      <c r="F13" s="996">
        <f>IF(ISNUMBER(E13/B13),E13/B13," - ")</f>
        <v>394.11111111111109</v>
      </c>
      <c r="G13" s="995">
        <f>SUBTOTAL(9,G8:G12)</f>
        <v>3258</v>
      </c>
      <c r="H13" s="996">
        <f>IF(ISNUMBER(G13/B13),G13/B13," - ")</f>
        <v>362</v>
      </c>
      <c r="I13" s="995">
        <f>SUBTOTAL(9,I8:I12)</f>
        <v>8660</v>
      </c>
      <c r="J13" s="996">
        <f>IF(ISNUMBER(I13/B13),I13/B13," - ")</f>
        <v>962.22222222222217</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5</v>
      </c>
      <c r="C15" s="414">
        <f>IF(ISNUMBER(IF(D_I="SI",Datos!I15,Datos!I15+Datos!AC15)),IF(D_I="SI",Datos!I15,Datos!I15+Datos!AC15)," - ")</f>
        <v>2456</v>
      </c>
      <c r="D15" s="415">
        <f>IF(ISNUMBER(C15/Datos!BH15),C15/Datos!BH15," - ")</f>
        <v>491.2</v>
      </c>
      <c r="E15" s="414">
        <f>IF(ISNUMBER(IF(D_I="SI",Datos!J15,Datos!J15+Datos!AD15)),IF(D_I="SI",Datos!J15,Datos!J15+Datos!AD15)," - ")</f>
        <v>4134</v>
      </c>
      <c r="F15" s="415">
        <f>IF(ISNUMBER(E15/B15),E15/B15," - ")</f>
        <v>826.8</v>
      </c>
      <c r="G15" s="414">
        <f>IF(ISNUMBER(IF(D_I="SI",Datos!K15,Datos!K15+Datos!AE15)),IF(D_I="SI",Datos!K15,Datos!K15+Datos!AE15)," - ")</f>
        <v>3890</v>
      </c>
      <c r="H15" s="415">
        <f>IF(ISNUMBER(G15/B15),G15/B15," - ")</f>
        <v>778</v>
      </c>
      <c r="I15" s="414">
        <f>IF(ISNUMBER(IF(D_I="SI",Datos!L15,Datos!L15+Datos!AF15)),IF(D_I="SI",Datos!L15,Datos!L15+Datos!AF15)," - ")</f>
        <v>2752</v>
      </c>
      <c r="J15" s="415">
        <f>IF(ISNUMBER(I15/B15),I15/B15," - ")</f>
        <v>550.4</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208</v>
      </c>
      <c r="D17" s="415">
        <f>IF(ISNUMBER(C17/Datos!BH17),C17/Datos!BH17," - ")</f>
        <v>208</v>
      </c>
      <c r="E17" s="414">
        <f>IF(ISNUMBER(IF(D_I="SI",Datos!J17,Datos!J17+Datos!AD17)),IF(D_I="SI",Datos!J17,Datos!J17+Datos!AD17)," - ")</f>
        <v>366</v>
      </c>
      <c r="F17" s="415">
        <f>IF(ISNUMBER(E17/B17),E17/B17," - ")</f>
        <v>366</v>
      </c>
      <c r="G17" s="414">
        <f>IF(ISNUMBER(IF(D_I="SI",Datos!K17,Datos!K17+Datos!AE17)),IF(D_I="SI",Datos!K17,Datos!K17+Datos!AE17)," - ")</f>
        <v>307</v>
      </c>
      <c r="H17" s="415">
        <f>IF(ISNUMBER(G17/B17),G17/B17," - ")</f>
        <v>307</v>
      </c>
      <c r="I17" s="414">
        <f>IF(ISNUMBER(IF(D_I="SI",Datos!L17,Datos!L17+Datos!AF17)),IF(D_I="SI",Datos!L17,Datos!L17+Datos!AF17)," - ")</f>
        <v>270</v>
      </c>
      <c r="J17" s="415">
        <f>IF(ISNUMBER(I17/B17),I17/B17," - ")</f>
        <v>270</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6</v>
      </c>
      <c r="C18" s="995">
        <f>SUBTOTAL(9,C14:C17)</f>
        <v>2664</v>
      </c>
      <c r="D18" s="996" t="str">
        <f>IF(ISNUMBER(C18/Datos!BI18),C18/Datos!BI18," - ")</f>
        <v xml:space="preserve"> - </v>
      </c>
      <c r="E18" s="995">
        <f>SUBTOTAL(9,E14:E17)</f>
        <v>4500</v>
      </c>
      <c r="F18" s="996">
        <f>IF(ISNUMBER(E18/B18),E18/B18," - ")</f>
        <v>750</v>
      </c>
      <c r="G18" s="995">
        <f>SUBTOTAL(9,G14:G17)</f>
        <v>4197</v>
      </c>
      <c r="H18" s="996">
        <f>IF(ISNUMBER(G18/B18),G18/B18," - ")</f>
        <v>699.5</v>
      </c>
      <c r="I18" s="995">
        <f>SUBTOTAL(9,I14:I17)</f>
        <v>3022</v>
      </c>
      <c r="J18" s="996">
        <f>IF(ISNUMBER(I18/B18),I18/B18," - ")</f>
        <v>503.66666666666669</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14</v>
      </c>
      <c r="C19" s="940">
        <f>SUBTOTAL(9,C9:C18)</f>
        <v>11014</v>
      </c>
      <c r="D19" s="941" t="str">
        <f>IF(ISNUMBER(C19/Datos!BI19),C19/Datos!BI19," - ")</f>
        <v xml:space="preserve"> - </v>
      </c>
      <c r="E19" s="940">
        <f>SUBTOTAL(9,E9:E18)</f>
        <v>8047</v>
      </c>
      <c r="F19" s="941">
        <f>IF(ISNUMBER(E19/B19),E19/B19," - ")</f>
        <v>574.78571428571433</v>
      </c>
      <c r="G19" s="940">
        <f>SUBTOTAL(9,G9:G18)</f>
        <v>7455</v>
      </c>
      <c r="H19" s="941">
        <f>IF(ISNUMBER(G19/B19),G19/B19," - ")</f>
        <v>532.5</v>
      </c>
      <c r="I19" s="940">
        <f>SUBTOTAL(9,I9:I18)</f>
        <v>11682</v>
      </c>
      <c r="J19" s="941">
        <f>IF(ISNUMBER(I19/B19),I19/B19," - ")</f>
        <v>834.42857142857144</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btslhQgiDvIpMhWPapFsiyeMb2wEH6FbyrhqQg2gkcjs2/Ut3eArKb9cELDohoGBLnRzU8w5Cq2Bb4NiJIUBIA==" saltValue="6pRbWXGXRSu4YKYKbRVTk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CATALUÑA</v>
      </c>
      <c r="F1" s="752"/>
      <c r="W1"/>
      <c r="X1"/>
      <c r="BE1" s="752"/>
    </row>
    <row r="2" spans="1:65" ht="16.5" customHeight="1">
      <c r="C2" s="520" t="str">
        <f>Criterios!A10 &amp;"  "&amp;Criterios!B10 &amp; "  " &amp; IF(NOT(ISBLANK(Criterios!A11)),Criterios!A11 &amp;"  "&amp;Criterios!B11,"")</f>
        <v>Provincias  BARCELONA  Resumenes por Partidos Judiciales  BADALONA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6</v>
      </c>
      <c r="B9" s="652" t="s">
        <v>249</v>
      </c>
      <c r="C9" s="670" t="str">
        <f>Datos!A9</f>
        <v xml:space="preserve">Jdos. 1ª Instancia   </v>
      </c>
      <c r="D9" s="543"/>
      <c r="E9" s="800">
        <f>IF(ISNUMBER(Datos!AQ9),Datos!AQ9," - ")</f>
        <v>6</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1</v>
      </c>
      <c r="F10" s="801">
        <f>IF(ISNUMBER(Datos!L10+Datos!K10-Datos!J10),Datos!L10+Datos!K10-Datos!J10," - ")</f>
        <v>45</v>
      </c>
      <c r="G10" s="802">
        <f>IF(ISNUMBER(Datos!I10),Datos!I10," - ")</f>
        <v>45</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3</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13</v>
      </c>
      <c r="AC10" s="801" t="str">
        <f>IF(ISNUMBER(IF(D_I="SI",DatosP!K17,DatosP!K17+DatosP!AE17)),IF(D_I="SI",DatosP!K17,DatosP!K17+DatosP!AE17)," - ")</f>
        <v xml:space="preserve"> - </v>
      </c>
      <c r="AD10" s="803"/>
      <c r="AE10" s="803"/>
      <c r="AF10" s="806">
        <f>IF(ISNUMBER(Datos!L10),Datos!L10,"-")</f>
        <v>54</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5</v>
      </c>
      <c r="AM10" s="810">
        <f>IF(ISNUMBER(Datos!N10+DatosP!N17),Datos!N10+DatosP!N17," - ")</f>
        <v>6</v>
      </c>
      <c r="AN10" s="810">
        <f>IF(ISNUMBER(Datos!BW10+DatosP!BW17),Datos!BW10+DatosP!BW17," - ")</f>
        <v>0</v>
      </c>
      <c r="AO10" s="811">
        <f>IF(ISNUMBER(Datos!BX10+DatosP!BX17),Datos!BX10+DatosP!BX17," - ")</f>
        <v>0</v>
      </c>
      <c r="AP10" s="813">
        <f>IF(ISNUMBER(((Datos!L10/Datos!K10)*11)/factor_trimestre),((Datos!L10/Datos!K10)*11)/factor_trimestre," - ")</f>
        <v>8.3076923076923084</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2</v>
      </c>
      <c r="B11" s="653" t="s">
        <v>249</v>
      </c>
      <c r="C11" s="654" t="str">
        <f>Datos!A11</f>
        <v xml:space="preserve">Jdos. Familia                                   </v>
      </c>
      <c r="D11" s="548"/>
      <c r="E11" s="800">
        <f>IF(ISNUMBER(Datos!AQ11),Datos!AQ11," - ")</f>
        <v>2</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9</v>
      </c>
      <c r="F13" s="1084">
        <f t="shared" si="0"/>
        <v>45</v>
      </c>
      <c r="G13" s="1084">
        <f t="shared" si="0"/>
        <v>45</v>
      </c>
      <c r="H13" s="1084">
        <f t="shared" si="0"/>
        <v>0</v>
      </c>
      <c r="I13" s="1086">
        <f t="shared" si="0"/>
        <v>0</v>
      </c>
      <c r="J13" s="1085">
        <f t="shared" si="0"/>
        <v>0</v>
      </c>
      <c r="K13" s="1085">
        <f t="shared" si="0"/>
        <v>0</v>
      </c>
      <c r="L13" s="1087">
        <f t="shared" si="0"/>
        <v>0</v>
      </c>
      <c r="M13" s="1087">
        <f t="shared" si="0"/>
        <v>0</v>
      </c>
      <c r="N13" s="1085">
        <f t="shared" si="0"/>
        <v>3</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13</v>
      </c>
      <c r="AC13" s="1085">
        <f t="shared" si="1"/>
        <v>0</v>
      </c>
      <c r="AD13" s="1085">
        <f t="shared" si="1"/>
        <v>0</v>
      </c>
      <c r="AE13" s="1085">
        <f t="shared" si="1"/>
        <v>0</v>
      </c>
      <c r="AF13" s="1085">
        <f t="shared" si="1"/>
        <v>54</v>
      </c>
      <c r="AG13" s="1085">
        <f t="shared" si="1"/>
        <v>0</v>
      </c>
      <c r="AH13" s="1085">
        <f t="shared" si="1"/>
        <v>0</v>
      </c>
      <c r="AI13" s="1085">
        <f t="shared" si="1"/>
        <v>0</v>
      </c>
      <c r="AJ13" s="1085">
        <f t="shared" si="1"/>
        <v>0</v>
      </c>
      <c r="AK13" s="1085">
        <f t="shared" si="1"/>
        <v>0</v>
      </c>
      <c r="AL13" s="1085">
        <f t="shared" si="1"/>
        <v>5</v>
      </c>
      <c r="AM13" s="1085">
        <f t="shared" si="1"/>
        <v>6</v>
      </c>
      <c r="AN13" s="1085">
        <f t="shared" si="1"/>
        <v>0</v>
      </c>
      <c r="AO13" s="1085">
        <f t="shared" si="1"/>
        <v>0</v>
      </c>
      <c r="AP13" s="1090">
        <f>IF(ISNUMBER(((Datos!L13/Datos!K13)*11)/factor_trimestre),((Datos!L13/Datos!K13)*11)/factor_trimestre," - ")</f>
        <v>5.6042852360227657</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-0.28888888888888886</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5</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1.4400762449368596</v>
      </c>
      <c r="AQ18" s="1090">
        <f>IF(ISNUMBER(((Datos!M18/Datos!L18)*11)/factor_trimestre),((Datos!M18/Datos!L18)*11)/factor_trimestre," - ")</f>
        <v>0.21111846459298478</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5.1457975986277877E-3</v>
      </c>
      <c r="AW18" s="1092">
        <f>IF(ISNUMBER((Datos!Q18-Datos!R18)/(Datos!S18-Datos!Q18+Datos!R18)),(Datos!Q18-Datos!R18)/(Datos!S18-Datos!Q18+Datos!R18)," - ")</f>
        <v>-0.16397560100466452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9</v>
      </c>
      <c r="F19" s="1097">
        <f t="shared" si="4"/>
        <v>45</v>
      </c>
      <c r="G19" s="1097">
        <f t="shared" si="4"/>
        <v>45</v>
      </c>
      <c r="H19" s="1097">
        <f t="shared" si="4"/>
        <v>0</v>
      </c>
      <c r="I19" s="1098">
        <f t="shared" si="4"/>
        <v>0</v>
      </c>
      <c r="J19" s="1099">
        <f t="shared" si="4"/>
        <v>0</v>
      </c>
      <c r="K19" s="1099">
        <f t="shared" si="4"/>
        <v>0</v>
      </c>
      <c r="L19" s="1099">
        <f t="shared" si="4"/>
        <v>0</v>
      </c>
      <c r="M19" s="1099">
        <f t="shared" si="4"/>
        <v>0</v>
      </c>
      <c r="N19" s="1098">
        <f t="shared" si="4"/>
        <v>3</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13</v>
      </c>
      <c r="AC19" s="1103">
        <f t="shared" si="5"/>
        <v>0</v>
      </c>
      <c r="AD19" s="1103">
        <f t="shared" si="5"/>
        <v>0</v>
      </c>
      <c r="AE19" s="1103">
        <f t="shared" si="5"/>
        <v>0</v>
      </c>
      <c r="AF19" s="1104">
        <f t="shared" si="5"/>
        <v>54</v>
      </c>
      <c r="AG19" s="1104">
        <f t="shared" si="5"/>
        <v>0</v>
      </c>
      <c r="AH19" s="1104">
        <f t="shared" si="5"/>
        <v>0</v>
      </c>
      <c r="AI19" s="1104">
        <f t="shared" si="5"/>
        <v>0</v>
      </c>
      <c r="AJ19" s="1105">
        <f t="shared" si="5"/>
        <v>0</v>
      </c>
      <c r="AK19" s="1105">
        <f t="shared" si="5"/>
        <v>0</v>
      </c>
      <c r="AL19" s="1097">
        <f t="shared" si="5"/>
        <v>5</v>
      </c>
      <c r="AM19" s="1097">
        <f t="shared" si="5"/>
        <v>6</v>
      </c>
      <c r="AN19" s="1097">
        <f t="shared" si="5"/>
        <v>0</v>
      </c>
      <c r="AO19" s="1097">
        <f t="shared" si="5"/>
        <v>0</v>
      </c>
      <c r="AP19" s="1097">
        <f>IF(ISNUMBER(((Datos!L19/Datos!K19)*11)/factor_trimestre),((Datos!L19/Datos!K19)*11)/factor_trimestre," - ")</f>
        <v>3.1714922048997773</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-0.28888888888888886</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-2.0214547032926147E-2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30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3.687817782917155</v>
      </c>
      <c r="F21" s="869">
        <f>IF(ISNUMBER(STDEV(F8:F18)),STDEV(F8:F18),"-")</f>
        <v>25.98076211353316</v>
      </c>
      <c r="G21" s="870">
        <f>IF(ISNUMBER(STDEV(G8:G18)),STDEV(G8:G18),"-")</f>
        <v>25.98076211353316</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7.5055534994651349</v>
      </c>
      <c r="AC21" s="871">
        <f>IF(ISNUMBER(STDEV(AC8:AC18)),STDEV(AC8:AC18),"-")</f>
        <v>0</v>
      </c>
      <c r="AD21" s="874"/>
      <c r="AE21" s="874"/>
      <c r="AF21" s="874"/>
      <c r="AG21" s="874"/>
      <c r="AH21" s="874"/>
      <c r="AI21" s="874"/>
      <c r="AJ21" s="875">
        <f>IF(ISNUMBER(STDEV(AJ8:AJ18)),STDEV(AJ8:AJ18),"-")</f>
        <v>0</v>
      </c>
      <c r="AK21" s="877"/>
      <c r="AL21" s="869">
        <f>IF(ISNUMBER(STDEV(AL8:AL18)),STDEV(AL8:AL18),"-")</f>
        <v>2.8867513459481287</v>
      </c>
      <c r="AM21" s="869"/>
      <c r="AN21" s="869">
        <f>IF(ISNUMBER(STDEV(AN8:AN18)),STDEV(AN8:AN18),"-")</f>
        <v>0</v>
      </c>
      <c r="AO21" s="875">
        <f>IF(ISNUMBER(STDEV(AO8:AO18)),STDEV(AO8:AO18),"-")</f>
        <v>0</v>
      </c>
      <c r="AP21" s="922">
        <f>IF(ISNUMBER(STDEV(AP8:AP18)),STDEV(AP8:AP18),"-")</f>
        <v>3.4596049076450481</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dH4uLAmGaIxQchfzffrw5RIlOeybkO10nsJYTj927Jq57l3E3OK7odc1yjXySp7tYPv/sgWgCBkuk9YmYMNyLw==" saltValue="kzwQdM5sVHRxJhyTnqB9e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CATALUÑA</v>
      </c>
      <c r="C2" s="399"/>
      <c r="E2" s="399"/>
      <c r="F2" s="399"/>
      <c r="G2" s="399"/>
      <c r="H2" s="399"/>
    </row>
    <row r="3" spans="1:15" ht="39">
      <c r="A3" s="426" t="s">
        <v>221</v>
      </c>
      <c r="B3" s="402" t="str">
        <f>Criterios!A10 &amp;"  "&amp;Criterios!B10</f>
        <v>Provincias  BARCELONA</v>
      </c>
      <c r="C3" s="426"/>
      <c r="F3" s="399"/>
      <c r="G3" s="399"/>
      <c r="H3" s="399"/>
    </row>
    <row r="4" spans="1:15" ht="13.5" thickBot="1">
      <c r="A4" s="399"/>
      <c r="B4" s="402" t="str">
        <f>Criterios!A11 &amp;"  "&amp;Criterios!B11</f>
        <v>Resumenes por Partidos Judiciales  BADALONA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6</v>
      </c>
      <c r="D9" s="414">
        <f>Datos!BK9</f>
        <v>0</v>
      </c>
      <c r="E9" s="414">
        <f>Datos!AQ9</f>
        <v>6</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2</v>
      </c>
      <c r="D11" s="414">
        <f>Datos!BK11</f>
        <v>0</v>
      </c>
      <c r="E11" s="414">
        <f>Datos!AQ11</f>
        <v>2</v>
      </c>
      <c r="F11" s="415">
        <f>IF(ISNUMBER(E11/Datos!BH11),E11/Datos!BH11," - ")</f>
        <v>1</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5</v>
      </c>
      <c r="D15" s="414">
        <f>Datos!BK15</f>
        <v>0</v>
      </c>
      <c r="E15" s="414">
        <f>Datos!AQ15</f>
        <v>5</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mNifmM5ArqFf3BPH6wlaQubSYxgAICqwnUPv3g6DD0bRzA0TrYBrgjgHBTKgUGuQYYD7Kdhkhzd4JrQ4GXFrA==" saltValue="Z4T5vLbcr4TWbhHJmrMgk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CATALUÑA</v>
      </c>
      <c r="C2" s="438"/>
      <c r="D2" s="381"/>
    </row>
    <row r="3" spans="1:9" ht="19.5">
      <c r="A3" s="439" t="s">
        <v>11</v>
      </c>
      <c r="B3" s="440" t="str">
        <f>Criterios!A10 &amp;"  "&amp;Criterios!B10</f>
        <v>Provincias  BARCELONA</v>
      </c>
      <c r="C3" s="438"/>
      <c r="D3" s="439"/>
    </row>
    <row r="4" spans="1:9" ht="13.5" thickBot="1">
      <c r="B4" s="440" t="str">
        <f>Criterios!A11 &amp;"  "&amp;Criterios!B11</f>
        <v>Resumenes por Partidos Judiciales  BADALONA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6</v>
      </c>
      <c r="C9" s="421">
        <f>Datos!AQ9</f>
        <v>6</v>
      </c>
      <c r="D9" s="414">
        <f>IF(ISNUMBER(Datos!M9),Datos!M9," - ")</f>
        <v>399</v>
      </c>
      <c r="E9" s="415">
        <f t="shared" ref="E9:E13" si="0">IF(ISNUMBER(D9/B9),D9/B9," - ")</f>
        <v>66.5</v>
      </c>
      <c r="F9" s="414">
        <f>IF(ISNUMBER(Datos!N9),Datos!N9," - ")</f>
        <v>1556</v>
      </c>
      <c r="G9" s="415">
        <f t="shared" ref="G9:G13" si="1">IF(ISNUMBER(F9/B9),F9/B9," - ")</f>
        <v>259.33333333333331</v>
      </c>
      <c r="H9" s="414">
        <f>IF(ISNUMBER(Datos!O9),Datos!O9," - ")</f>
        <v>1145</v>
      </c>
      <c r="I9" s="415">
        <f>IF(ISNUMBER(H9/B9),H9/B9," - ")</f>
        <v>190.83333333333334</v>
      </c>
    </row>
    <row r="10" spans="1:9">
      <c r="A10" s="413" t="str">
        <f>Datos!A10</f>
        <v>Jdos. Violencia contra la mujer</v>
      </c>
      <c r="B10" s="443">
        <f>Datos!AO10</f>
        <v>1</v>
      </c>
      <c r="C10" s="421">
        <f>Datos!AQ10</f>
        <v>1</v>
      </c>
      <c r="D10" s="414">
        <f>IF(ISNUMBER(Datos!M10),Datos!M10," - ")</f>
        <v>5</v>
      </c>
      <c r="E10" s="415">
        <f>IF(ISNUMBER(D10/B10),D10/B10," - ")</f>
        <v>5</v>
      </c>
      <c r="F10" s="414">
        <f>IF(ISNUMBER(Datos!N10),Datos!N10," - ")</f>
        <v>6</v>
      </c>
      <c r="G10" s="415">
        <f>IF(ISNUMBER(F10/B10),F10/B10," - ")</f>
        <v>6</v>
      </c>
      <c r="H10" s="414">
        <f>IF(ISNUMBER(Datos!O10),Datos!O10," - ")</f>
        <v>2</v>
      </c>
      <c r="I10" s="415">
        <f t="shared" ref="I10:I12" si="2">IF(ISNUMBER(H10/B10),H10/B10," - ")</f>
        <v>2</v>
      </c>
    </row>
    <row r="11" spans="1:9">
      <c r="A11" s="413" t="str">
        <f>Datos!A11</f>
        <v xml:space="preserve">Jdos. Familia                                   </v>
      </c>
      <c r="B11" s="443">
        <f>Datos!AO11</f>
        <v>2</v>
      </c>
      <c r="C11" s="421">
        <f>Datos!AQ11</f>
        <v>2</v>
      </c>
      <c r="D11" s="414">
        <f>IF(ISNUMBER(Datos!M11),Datos!M11," - ")</f>
        <v>119</v>
      </c>
      <c r="E11" s="415">
        <f t="shared" si="0"/>
        <v>59.5</v>
      </c>
      <c r="F11" s="414">
        <f>IF(ISNUMBER(Datos!N11),Datos!N11," - ")</f>
        <v>223</v>
      </c>
      <c r="G11" s="415">
        <f t="shared" si="1"/>
        <v>111.5</v>
      </c>
      <c r="H11" s="414">
        <f>IF(ISNUMBER(Datos!O11),Datos!O11," - ")</f>
        <v>116</v>
      </c>
      <c r="I11" s="415">
        <f t="shared" si="2"/>
        <v>58</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9</v>
      </c>
      <c r="C13" s="997">
        <f>Datos!AR13</f>
        <v>9</v>
      </c>
      <c r="D13" s="995">
        <f>SUBTOTAL(9,D9:D12)</f>
        <v>523</v>
      </c>
      <c r="E13" s="996">
        <f t="shared" si="0"/>
        <v>58.111111111111114</v>
      </c>
      <c r="F13" s="995">
        <f>SUBTOTAL(9,F9:F12)</f>
        <v>1785</v>
      </c>
      <c r="G13" s="996">
        <f t="shared" si="1"/>
        <v>198.33333333333334</v>
      </c>
      <c r="H13" s="995">
        <f>SUBTOTAL(9,H9:H12)</f>
        <v>1263</v>
      </c>
      <c r="I13" s="996">
        <f>IF(ISNUMBER(H13/B13),H13/B13," - ")</f>
        <v>140.33333333333334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5</v>
      </c>
      <c r="C15" s="444">
        <f>Datos!AQ15</f>
        <v>5</v>
      </c>
      <c r="D15" s="414">
        <f>IF(ISNUMBER(Datos!M15),Datos!M15," - ")</f>
        <v>297</v>
      </c>
      <c r="E15" s="415">
        <f t="shared" ref="E15:E18" si="3">IF(ISNUMBER(D15/B15),D15/B15," - ")</f>
        <v>59.4</v>
      </c>
      <c r="F15" s="414">
        <f>IF(ISNUMBER(Datos!N15),Datos!N15," - ")</f>
        <v>2614</v>
      </c>
      <c r="G15" s="415">
        <f t="shared" ref="G15:G18" si="4">IF(ISNUMBER(F15/B15),F15/B15," - ")</f>
        <v>522.79999999999995</v>
      </c>
      <c r="H15" s="414">
        <f>IF(ISNUMBER(Datos!O15),Datos!O15," - ")</f>
        <v>64</v>
      </c>
      <c r="I15" s="415">
        <f t="shared" ref="I15:I17" si="5">IF(ISNUMBER(H15/B15),H15/B15," - ")</f>
        <v>12.8</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1</v>
      </c>
      <c r="C17" s="444">
        <f>Datos!AQ17</f>
        <v>1</v>
      </c>
      <c r="D17" s="414">
        <f>IF(ISNUMBER(Datos!M17),Datos!M17," - ")</f>
        <v>22</v>
      </c>
      <c r="E17" s="415">
        <f>IF(ISNUMBER(D17/B17),D17/B17," - ")</f>
        <v>22</v>
      </c>
      <c r="F17" s="414">
        <f>IF(ISNUMBER(Datos!N17),Datos!N17," - ")</f>
        <v>197</v>
      </c>
      <c r="G17" s="415">
        <f>IF(ISNUMBER(F17/B17),F17/B17," - ")</f>
        <v>197</v>
      </c>
      <c r="H17" s="414">
        <f>IF(ISNUMBER(Datos!O17),Datos!O17," - ")</f>
        <v>1</v>
      </c>
      <c r="I17" s="415">
        <f t="shared" si="5"/>
        <v>1</v>
      </c>
    </row>
    <row r="18" spans="1:9" ht="14.25" thickTop="1" thickBot="1">
      <c r="A18" s="994" t="str">
        <f>Datos!A18</f>
        <v>TOTAL</v>
      </c>
      <c r="B18" s="995">
        <f>Datos!AO18</f>
        <v>6</v>
      </c>
      <c r="C18" s="997">
        <f>Datos!AR18</f>
        <v>6</v>
      </c>
      <c r="D18" s="995">
        <f>SUBTOTAL(9,D15:D17)</f>
        <v>319</v>
      </c>
      <c r="E18" s="996">
        <f t="shared" si="3"/>
        <v>53.166666666666664</v>
      </c>
      <c r="F18" s="995">
        <f>SUBTOTAL(9,F15:F17)</f>
        <v>2811</v>
      </c>
      <c r="G18" s="996">
        <f t="shared" si="4"/>
        <v>468.5</v>
      </c>
      <c r="H18" s="995">
        <f>SUBTOTAL(9,H15:H17)</f>
        <v>65</v>
      </c>
      <c r="I18" s="996">
        <f>IF(ISNUMBER(H18/B18),H18/B18," - ")</f>
        <v>10.833333333333334</v>
      </c>
    </row>
    <row r="19" spans="1:9" ht="14.25" thickTop="1" thickBot="1">
      <c r="A19" s="939" t="str">
        <f>Datos!A19</f>
        <v>TOTAL JURISDICCIONES</v>
      </c>
      <c r="B19" s="940">
        <f>Datos!AP19</f>
        <v>14</v>
      </c>
      <c r="C19" s="940">
        <f>Datos!AR19</f>
        <v>14</v>
      </c>
      <c r="D19" s="940">
        <f>SUBTOTAL(9,D8:D18)</f>
        <v>842</v>
      </c>
      <c r="E19" s="941">
        <f>IF(ISNUMBER(D19/B19),D19/B19," - ")</f>
        <v>60.142857142857146</v>
      </c>
      <c r="F19" s="940">
        <f>SUBTOTAL(9,F8:F18)</f>
        <v>4596</v>
      </c>
      <c r="G19" s="941">
        <f>IF(ISNUMBER(F19/B19),F19/B19," - ")</f>
        <v>328.28571428571428</v>
      </c>
      <c r="H19" s="940">
        <f>SUBTOTAL(9,H8:H18)</f>
        <v>1328</v>
      </c>
      <c r="I19" s="941">
        <f>IF(ISNUMBER(H19/B19),H19/B19," - ")</f>
        <v>94.857142857142861</v>
      </c>
    </row>
    <row r="22" spans="1:9">
      <c r="A22" s="402" t="str">
        <f>Criterios!A4</f>
        <v>Fecha Informe: 29 nov. 2023</v>
      </c>
    </row>
    <row r="27" spans="1:9">
      <c r="A27" s="425"/>
    </row>
  </sheetData>
  <sheetProtection algorithmName="SHA-512" hashValue="lBFwJg2Xs//RJe/JNK1iy7YKbSxPuFUjpIQjaSHZXwAzhYOiIEmshgNKti3PDO1bb0MsEL5XpnjRRQcPYqZA/w==" saltValue="QbfbFpTcuKpHyxWceEgKV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CATALUÑA</v>
      </c>
    </row>
    <row r="3" spans="1:4" ht="19.5">
      <c r="A3" s="445" t="s">
        <v>32</v>
      </c>
      <c r="B3" s="402" t="str">
        <f>Criterios!A10 &amp;"  "&amp;Criterios!B10</f>
        <v>Provincias  BARCELONA</v>
      </c>
    </row>
    <row r="4" spans="1:4" ht="13.5" thickBot="1">
      <c r="B4" s="402" t="str">
        <f>Criterios!A11 &amp;"  "&amp;Criterios!B11</f>
        <v>Resumenes por Partidos Judiciales  BADALONA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656</v>
      </c>
      <c r="C9" s="450">
        <f>IF(ISNUMBER(Datos!Q9),Datos!Q9," - ")</f>
        <v>939</v>
      </c>
      <c r="D9" s="419">
        <f>IF(ISNUMBER(Datos!R9),Datos!R9," - ")</f>
        <v>14380</v>
      </c>
    </row>
    <row r="10" spans="1:4">
      <c r="A10" s="413" t="str">
        <f>Datos!A10</f>
        <v>Jdos. Violencia contra la mujer</v>
      </c>
      <c r="B10" s="449">
        <f>IF(ISNUMBER(Datos!P10),Datos!P10," - ")</f>
        <v>3</v>
      </c>
      <c r="C10" s="450">
        <f>IF(ISNUMBER(Datos!Q10),Datos!Q10," - ")</f>
        <v>0</v>
      </c>
      <c r="D10" s="419">
        <f>IF(ISNUMBER(Datos!R10),Datos!R10," - ")</f>
        <v>107</v>
      </c>
    </row>
    <row r="11" spans="1:4">
      <c r="A11" s="413" t="str">
        <f>Datos!A11</f>
        <v xml:space="preserve">Jdos. Familia                                   </v>
      </c>
      <c r="B11" s="449">
        <f>IF(ISNUMBER(Datos!P11),Datos!P11," - ")</f>
        <v>37</v>
      </c>
      <c r="C11" s="450">
        <f>IF(ISNUMBER(Datos!Q11),Datos!Q11," - ")</f>
        <v>86</v>
      </c>
      <c r="D11" s="419">
        <f>IF(ISNUMBER(Datos!R11),Datos!R11," - ")</f>
        <v>728</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696</v>
      </c>
      <c r="C13" s="999">
        <f>SUBTOTAL(9,C9:C12)</f>
        <v>1025</v>
      </c>
      <c r="D13" s="997">
        <f>SUBTOTAL(9,D9:D12)</f>
        <v>15215</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132</v>
      </c>
      <c r="C15" s="450">
        <f>IF(ISNUMBER(Datos!Q15),Datos!Q15," - ")</f>
        <v>127</v>
      </c>
      <c r="D15" s="419">
        <f>IF(ISNUMBER(Datos!R15),Datos!R15," - ")</f>
        <v>582</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0</v>
      </c>
      <c r="C17" s="450">
        <f>IF(ISNUMBER(Datos!Q17),Datos!Q17," - ")</f>
        <v>2</v>
      </c>
      <c r="D17" s="419">
        <f>IF(ISNUMBER(Datos!R17),Datos!R17," - ")</f>
        <v>4</v>
      </c>
    </row>
    <row r="18" spans="1:4" ht="14.25" thickTop="1" thickBot="1">
      <c r="A18" s="994" t="str">
        <f>Datos!A18</f>
        <v>TOTAL</v>
      </c>
      <c r="B18" s="995">
        <f>SUBTOTAL(9,B15:B17)</f>
        <v>132</v>
      </c>
      <c r="C18" s="999">
        <f>SUBTOTAL(9,C15:C17)</f>
        <v>129</v>
      </c>
      <c r="D18" s="997">
        <f>SUBTOTAL(9,D15:D17)</f>
        <v>586</v>
      </c>
    </row>
    <row r="19" spans="1:4" ht="16.5" customHeight="1" thickTop="1" thickBot="1">
      <c r="A19" s="939" t="str">
        <f>Datos!A19</f>
        <v>TOTAL JURISDICCIONES</v>
      </c>
      <c r="B19" s="944">
        <f>SUBTOTAL(9,B8:B18)</f>
        <v>828</v>
      </c>
      <c r="C19" s="945">
        <f>SUBTOTAL(9,C8:C18)</f>
        <v>1154</v>
      </c>
      <c r="D19" s="946">
        <f>SUBTOTAL(9,D8:D18)</f>
        <v>15801</v>
      </c>
    </row>
    <row r="20" spans="1:4" ht="7.5" customHeight="1"/>
    <row r="21" spans="1:4" ht="6" customHeight="1"/>
    <row r="22" spans="1:4">
      <c r="A22" s="402" t="str">
        <f>Criterios!A4</f>
        <v>Fecha Informe: 29 nov. 2023</v>
      </c>
    </row>
    <row r="27" spans="1:4">
      <c r="A27" s="425"/>
    </row>
  </sheetData>
  <sheetProtection algorithmName="SHA-512" hashValue="VqRvLnb208kmlVphp2K1SdDg11HLEsRDEG1IUtgnyxJH0jUhFjlimeX7YPfytpnStIx6fTeJecyLx9irWrrMzw==" saltValue="0/yfxF8j4F2Ypq6M25UwJ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CATALUÑA</v>
      </c>
    </row>
    <row r="3" spans="1:11" ht="18.75" customHeight="1">
      <c r="A3" s="445" t="s">
        <v>118</v>
      </c>
      <c r="B3" s="402" t="str">
        <f>Criterios!A10 &amp;"  "&amp;Criterios!B10</f>
        <v>Provincias  BARCELONA</v>
      </c>
    </row>
    <row r="4" spans="1:11" ht="10.5" customHeight="1" thickBot="1">
      <c r="B4" s="402" t="str">
        <f>Criterios!A11 &amp;"  "&amp;Criterios!B11</f>
        <v>Resumenes por Partidos Judiciales  BADALONA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0.23475559914991009</v>
      </c>
      <c r="C9" s="472">
        <f>IF(ISNUMBER(
   IF(J_V="SI",(Datos!J9-Datos!T9)/Datos!T9,(Datos!J9+Datos!Z9-(Datos!T9+Datos!AH9))/(Datos!T9+Datos!AH9))
     ),IF(J_V="SI",(Datos!J9-Datos!T9)/Datos!T9,(Datos!J9+Datos!Z9-(Datos!T9+Datos!AH9))/(Datos!T9+Datos!AH9))," - ")</f>
        <v>2.1566025215660253E-2</v>
      </c>
      <c r="D9" s="472">
        <f>IF(ISNUMBER(
   IF(J_V="SI",(Datos!K9-Datos!U9)/Datos!U9,(Datos!K9+Datos!AA9-(Datos!U9+Datos!AI9))/(Datos!U9+Datos!AI9))
     ),IF(J_V="SI",(Datos!K9-Datos!U9)/Datos!U9,(Datos!K9+Datos!AA9-(Datos!U9+Datos!AI9))/(Datos!U9+Datos!AI9))," - ")</f>
        <v>1.4780100937274693E-2</v>
      </c>
      <c r="E9" s="472">
        <f>IF(ISNUMBER(
   IF(J_V="SI",(Datos!L9-Datos!V9)/Datos!V9,(Datos!L9+Datos!AB9-(Datos!V9+Datos!AJ9))/(Datos!V9+Datos!AJ9))
     ),IF(J_V="SI",(Datos!L9-Datos!V9)/Datos!V9,(Datos!L9+Datos!AB9-(Datos!V9+Datos!AJ9))/(Datos!V9+Datos!AJ9))," - ")</f>
        <v>0.16636904761904761</v>
      </c>
      <c r="F9" s="472">
        <f>IF(ISNUMBER((Datos!M9-Datos!W9)/Datos!W9),(Datos!M9-Datos!W9)/Datos!W9," - ")</f>
        <v>-0.12882096069868995</v>
      </c>
      <c r="G9" s="473">
        <f>IF(ISNUMBER((Datos!N9-Datos!X9)/Datos!X9),(Datos!N9-Datos!X9)/Datos!X9," - ")</f>
        <v>9.039943938332165E-2</v>
      </c>
      <c r="H9" s="471">
        <f>IF(ISNUMBER(((NºAsuntos!G9/NºAsuntos!E9)-Datos!BD9)/Datos!BD9),((NºAsuntos!G9/NºAsuntos!E9)-Datos!BD9)/Datos!BD9," - ")</f>
        <v>-6.6426683257726918E-3</v>
      </c>
      <c r="I9" s="472">
        <f>IF(ISNUMBER(((NºAsuntos!I9/NºAsuntos!G9)-Datos!BE9)/Datos!BE9),((NºAsuntos!I9/NºAsuntos!G9)-Datos!BE9)/Datos!BE9," - ")</f>
        <v>0.1493810792523049</v>
      </c>
      <c r="J9" s="477">
        <f>IF(ISNUMBER((('Resol  Asuntos'!D9/NºAsuntos!G9)-Datos!BF9)/Datos!BF9),(('Resol  Asuntos'!D9/NºAsuntos!G9)-Datos!BF9)/Datos!BF9," - ")</f>
        <v>-0.72446486872682503</v>
      </c>
      <c r="K9" s="478">
        <f>IF(ISNUMBER((((NºAsuntos!C9+NºAsuntos!E9)/NºAsuntos!G9)-Datos!BG9)/Datos!BG9),(((NºAsuntos!C9+NºAsuntos!E9)/NºAsuntos!G9)-Datos!BG9)/Datos!BG9," - ")</f>
        <v>0.14742598992793468</v>
      </c>
    </row>
    <row r="10" spans="1:11">
      <c r="A10" s="413" t="str">
        <f>Datos!A10</f>
        <v>Jdos. Violencia contra la mujer</v>
      </c>
      <c r="B10" s="471">
        <f>IF(ISNUMBER((Datos!I10-Datos!S10)/Datos!S10),(Datos!I10-Datos!S10)/Datos!S10," - ")</f>
        <v>1.25</v>
      </c>
      <c r="C10" s="472">
        <f>IF(ISNUMBER((Datos!J10-Datos!T10)/Datos!T10),(Datos!J10-Datos!T10)/Datos!T10," - ")</f>
        <v>0.46666666666666667</v>
      </c>
      <c r="D10" s="472">
        <f>IF(ISNUMBER((Datos!K10-Datos!U10)/Datos!U10),(Datos!K10-Datos!U10)/Datos!U10," - ")</f>
        <v>0.625</v>
      </c>
      <c r="E10" s="472">
        <f>IF(ISNUMBER((Datos!L10-Datos!V10)/Datos!V10),(Datos!L10-Datos!V10)/Datos!V10," - ")</f>
        <v>1</v>
      </c>
      <c r="F10" s="472" t="str">
        <f>IF(ISNUMBER((Datos!M10-Datos!W10)/Datos!W10),(Datos!M10-Datos!W10)/Datos!W10," - ")</f>
        <v xml:space="preserve"> - </v>
      </c>
      <c r="G10" s="473" t="str">
        <f>IF(ISNUMBER((Datos!N10-Datos!X10)/Datos!X10),(Datos!N10-Datos!X10)/Datos!X10," - ")</f>
        <v xml:space="preserve"> - </v>
      </c>
      <c r="H10" s="471">
        <f>IF(ISNUMBER(((NºAsuntos!G10/NºAsuntos!E10)-Datos!BD10)/Datos!BD10),((NºAsuntos!G10/NºAsuntos!E10)-Datos!BD10)/Datos!BD10," - ")</f>
        <v>0.10795454545454553</v>
      </c>
      <c r="I10" s="472">
        <f>IF(ISNUMBER(((NºAsuntos!I10/NºAsuntos!G10)-Datos!BE10)/Datos!BE10),((NºAsuntos!I10/NºAsuntos!G10)-Datos!BE10)/Datos!BE10," - ")</f>
        <v>0.23076923076923087</v>
      </c>
      <c r="J10" s="477" t="str">
        <f>IF(ISNUMBER((('Resol  Asuntos'!D10/NºAsuntos!G10)-Datos!BF10)/Datos!BF10),(('Resol  Asuntos'!D10/NºAsuntos!G10)-Datos!BF10)/Datos!BF10," - ")</f>
        <v xml:space="preserve"> - </v>
      </c>
      <c r="K10" s="478">
        <f>IF(ISNUMBER((((NºAsuntos!C10+NºAsuntos!E10)/NºAsuntos!G10)-Datos!BG10)/Datos!BG10),(((NºAsuntos!C10+NºAsuntos!E10)/NºAsuntos!G10)-Datos!BG10)/Datos!BG10," - ")</f>
        <v>0.17802197802197811</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0.10588235294117647</v>
      </c>
      <c r="C11" s="472">
        <f>IF(ISNUMBER(
   IF(J_V="SI",(Datos!J11-Datos!T11)/Datos!T11,(Datos!J11+Datos!Z11-(Datos!T11+Datos!AH11))/(Datos!T11+Datos!AH11))
     ),IF(J_V="SI",(Datos!J11-Datos!T11)/Datos!T11,(Datos!J11+Datos!Z11-(Datos!T11+Datos!AH11))/(Datos!T11+Datos!AH11))," - ")</f>
        <v>0.21195652173913043</v>
      </c>
      <c r="D11" s="472">
        <f>IF(ISNUMBER(
   IF(J_V="SI",(Datos!K11-Datos!U11)/Datos!U11,(Datos!K11+Datos!AA11-(Datos!U11+Datos!AI11))/(Datos!U11+Datos!AI11))
     ),IF(J_V="SI",(Datos!K11-Datos!U11)/Datos!U11,(Datos!K11+Datos!AA11-(Datos!U11+Datos!AI11))/(Datos!U11+Datos!AI11))," - ")</f>
        <v>0.20786516853932585</v>
      </c>
      <c r="E11" s="472">
        <f>IF(ISNUMBER(
   IF(J_V="SI",(Datos!L11-Datos!V11)/Datos!V11,(Datos!L11+Datos!AB11-(Datos!V11+Datos!AJ11))/(Datos!V11+Datos!AJ11))
     ),IF(J_V="SI",(Datos!L11-Datos!V11)/Datos!V11,(Datos!L11+Datos!AB11-(Datos!V11+Datos!AJ11))/(Datos!V11+Datos!AJ11))," - ")</f>
        <v>0.10662824207492795</v>
      </c>
      <c r="F11" s="472">
        <f>IF(ISNUMBER((Datos!M11-Datos!W11)/Datos!W11),(Datos!M11-Datos!W11)/Datos!W11," - ")</f>
        <v>0.1553398058252427</v>
      </c>
      <c r="G11" s="473">
        <f>IF(ISNUMBER((Datos!N11-Datos!X11)/Datos!X11),(Datos!N11-Datos!X11)/Datos!X11," - ")</f>
        <v>0.39374999999999999</v>
      </c>
      <c r="H11" s="471">
        <f>IF(ISNUMBER(((NºAsuntos!G11/NºAsuntos!E11)-Datos!BD11)/Datos!BD11),((NºAsuntos!G11/NºAsuntos!E11)-Datos!BD11)/Datos!BD11," - ")</f>
        <v>-3.375825061722132E-3</v>
      </c>
      <c r="I11" s="472">
        <f>IF(ISNUMBER(((NºAsuntos!I11/NºAsuntos!G11)-Datos!BE11)/Datos!BE11),((NºAsuntos!I11/NºAsuntos!G11)-Datos!BE11)/Datos!BE11," - ")</f>
        <v>-8.3814757724013145E-2</v>
      </c>
      <c r="J11" s="477">
        <f>IF(ISNUMBER((('Resol  Asuntos'!D11/NºAsuntos!G11)-Datos!BF11)/Datos!BF11),(('Resol  Asuntos'!D11/NºAsuntos!G11)-Datos!BF11)/Datos!BF11," - ")</f>
        <v>-0.38424418604651162</v>
      </c>
      <c r="K11" s="478">
        <f>IF(ISNUMBER((((NºAsuntos!C11+NºAsuntos!E11)/NºAsuntos!G11)-Datos!BG11)/Datos!BG11),(((NºAsuntos!C11+NºAsuntos!E11)/NºAsuntos!G11)-Datos!BG11)/Datos!BG11," - ")</f>
        <v>-5.3594887271436215E-2</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0.22487897902303067</v>
      </c>
      <c r="C13" s="1001">
        <f>IF(ISNUMBER(
   IF(J_V="SI",(Datos!J13-Datos!T13)/Datos!T13,(Datos!J13+Datos!Z13-(Datos!T13+Datos!AH13))/(Datos!T13+Datos!AH13))
     ),IF(J_V="SI",(Datos!J13-Datos!T13)/Datos!T13,(Datos!J13+Datos!Z13-(Datos!T13+Datos!AH13))/(Datos!T13+Datos!AH13))," - ")</f>
        <v>4.4156608772446274E-2</v>
      </c>
      <c r="D13" s="1001">
        <f>IF(ISNUMBER(
   IF(J_V="SI",(Datos!K13-Datos!U13)/Datos!U13,(Datos!K13+Datos!AA13-(Datos!U13+Datos!AI13))/(Datos!U13+Datos!AI13))
     ),IF(J_V="SI",(Datos!K13-Datos!U13)/Datos!U13,(Datos!K13+Datos!AA13-(Datos!U13+Datos!AI13))/(Datos!U13+Datos!AI13))," - ")</f>
        <v>3.8240917782026769E-2</v>
      </c>
      <c r="E13" s="1001">
        <f>IF(ISNUMBER(
   IF(J_V="SI",(Datos!L13-Datos!V13)/Datos!V13,(Datos!L13+Datos!AB13-(Datos!V13+Datos!AJ13))/(Datos!V13+Datos!AJ13))
     ),IF(J_V="SI",(Datos!L13-Datos!V13)/Datos!V13,(Datos!L13+Datos!AB13-(Datos!V13+Datos!AJ13))/(Datos!V13+Datos!AJ13))," - ")</f>
        <v>0.16382206692648837</v>
      </c>
      <c r="F13" s="1002">
        <f>IF(ISNUMBER((Datos!M13-Datos!W13)/Datos!W13),(Datos!M13-Datos!W13)/Datos!W13," - ")</f>
        <v>-6.7736185383244205E-2</v>
      </c>
      <c r="G13" s="1003">
        <f>IF(ISNUMBER((Datos!N13-Datos!X13)/Datos!X13),(Datos!N13-Datos!X13)/Datos!X13," - ")</f>
        <v>0.12476370510396975</v>
      </c>
      <c r="H13" s="1003">
        <f>IF(ISNUMBER(((NºAsuntos!G13/NºAsuntos!E13)-Datos!BD13)/Datos!BD13),((NºAsuntos!G13/NºAsuntos!E13)-Datos!BD13)/Datos!BD13," - ")</f>
        <v>-5.6655208047519138E-3</v>
      </c>
      <c r="I13" s="1003">
        <f>IF(ISNUMBER(((NºAsuntos!I13/NºAsuntos!G13)-Datos!BE13)/Datos!BE13),((NºAsuntos!I13/NºAsuntos!G13)-Datos!BE13)/Datos!BE13," - ")</f>
        <v>0.12095569245405799</v>
      </c>
      <c r="J13" s="1003">
        <f>IF(ISNUMBER((('Resol  Asuntos'!D13/NºAsuntos!G13)-Datos!BF13)/Datos!BF13),(('Resol  Asuntos'!D13/NºAsuntos!G13)-Datos!BF13)/Datos!BF13," - ")</f>
        <v>-0.68258560286675463</v>
      </c>
      <c r="K13" s="1003">
        <f>IF(ISNUMBER((((NºAsuntos!C13+NºAsuntos!E13)/NºAsuntos!G13)-Datos!BG13)/Datos!BG13),(((NºAsuntos!C13+NºAsuntos!E13)/NºAsuntos!G13)-Datos!BG13)/Datos!BG13," - ")</f>
        <v>0.12187240926313185</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0.10282891782667265</v>
      </c>
      <c r="C15" s="472">
        <f>IF(ISNUMBER(
   IF(D_I="SI",(Datos!J15-Datos!T15)/Datos!T15,(Datos!J15+Datos!AD15-(Datos!T15+Datos!AL15))/(Datos!T15+Datos!AL15))
     ),IF(D_I="SI",(Datos!J15-Datos!T15)/Datos!T15,(Datos!J15+Datos!AD15-(Datos!T15+Datos!AL15))/(Datos!T15+Datos!AL15))," - ")</f>
        <v>0.12367491166077739</v>
      </c>
      <c r="D15" s="472">
        <f>IF(ISNUMBER(
   IF(D_I="SI",(Datos!K15-Datos!U15)/Datos!U15,(Datos!K15+Datos!AE15-(Datos!U15+Datos!AM15))/(Datos!U15+Datos!AM15))
     ),IF(D_I="SI",(Datos!K15-Datos!U15)/Datos!U15,(Datos!K15+Datos!AE15-(Datos!U15+Datos!AM15))/(Datos!U15+Datos!AM15))," - ")</f>
        <v>0.15088757396449703</v>
      </c>
      <c r="E15" s="472">
        <f>IF(ISNUMBER(
   IF(D_I="SI",(Datos!L15-Datos!V15)/Datos!V15,(Datos!L15+Datos!AF15-(Datos!V15+Datos!AN15))/(Datos!V15+Datos!AN15))
     ),IF(D_I="SI",(Datos!L15-Datos!V15)/Datos!V15,(Datos!L15+Datos!AF15-(Datos!V15+Datos!AN15))/(Datos!V15+Datos!AN15))," - ")</f>
        <v>6.5015479876160992E-2</v>
      </c>
      <c r="F15" s="472">
        <f>IF(ISNUMBER((Datos!M15-Datos!W15)/Datos!W15),(Datos!M15-Datos!W15)/Datos!W15," - ")</f>
        <v>9.1911764705882359E-2</v>
      </c>
      <c r="G15" s="473">
        <f>IF(ISNUMBER((Datos!N15-Datos!X15)/Datos!X15),(Datos!N15-Datos!X15)/Datos!X15," - ")</f>
        <v>0.22607879924953095</v>
      </c>
      <c r="H15" s="471">
        <f>IF(ISNUMBER(((NºAsuntos!G15/NºAsuntos!E15)-Datos!BD15)/Datos!BD15),((NºAsuntos!G15/NºAsuntos!E15)-Datos!BD15)/Datos!BD15," - ")</f>
        <v>2.4217557962115312E-2</v>
      </c>
      <c r="I15" s="472">
        <f>IF(ISNUMBER(((NºAsuntos!I15/NºAsuntos!G15)-Datos!BE15)/Datos!BE15),((NºAsuntos!I15/NºAsuntos!G15)-Datos!BE15)/Datos!BE15," - ")</f>
        <v>-7.4613798976497586E-2</v>
      </c>
      <c r="J15" s="477">
        <f>IF(ISNUMBER((('Resol  Asuntos'!D15/NºAsuntos!G15)-Datos!BF15)/Datos!BF15),(('Resol  Asuntos'!D15/NºAsuntos!G15)-Datos!BF15)/Datos!BF15," - ")</f>
        <v>-5.1243762286405571E-2</v>
      </c>
      <c r="K15" s="478">
        <f>IF(ISNUMBER((((NºAsuntos!C15+NºAsuntos!E15)/NºAsuntos!G15)-Datos!BG15)/Datos!BG15),(((NºAsuntos!C15+NºAsuntos!E15)/NºAsuntos!G15)-Datos!BG15)/Datos!BG15," - ")</f>
        <v>-3.0474868918976564E-2</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1.0194174757281553</v>
      </c>
      <c r="C17" s="472">
        <f>IF(ISNUMBER(
   IF(D_I="SI",(Datos!J17-Datos!T17)/Datos!T17,(Datos!J17+Datos!AD17-(Datos!T17+Datos!AL17))/(Datos!T17+Datos!AL17))
     ),IF(D_I="SI",(Datos!J17-Datos!T17)/Datos!T17,(Datos!J17+Datos!AD17-(Datos!T17+Datos!AL17))/(Datos!T17+Datos!AL17))," - ")</f>
        <v>0.2620689655172414</v>
      </c>
      <c r="D17" s="472">
        <f>IF(ISNUMBER(
   IF(D_I="SI",(Datos!K17-Datos!U17)/Datos!U17,(Datos!K17+Datos!AE17-(Datos!U17+Datos!AM17))/(Datos!U17+Datos!AM17))
     ),IF(D_I="SI",(Datos!K17-Datos!U17)/Datos!U17,(Datos!K17+Datos!AE17-(Datos!U17+Datos!AM17))/(Datos!U17+Datos!AM17))," - ")</f>
        <v>0.22800000000000001</v>
      </c>
      <c r="E17" s="472">
        <f>IF(ISNUMBER(
   IF(D_I="SI",(Datos!L17-Datos!V17)/Datos!V17,(Datos!L17+Datos!AF17-(Datos!V17+Datos!AN17))/(Datos!V17+Datos!AN17))
     ),IF(D_I="SI",(Datos!L17-Datos!V17)/Datos!V17,(Datos!L17+Datos!AF17-(Datos!V17+Datos!AN17))/(Datos!V17+Datos!AN17))," - ")</f>
        <v>0.88811188811188813</v>
      </c>
      <c r="F17" s="472">
        <f>IF(ISNUMBER((Datos!M17-Datos!W17)/Datos!W17),(Datos!M17-Datos!W17)/Datos!W17," - ")</f>
        <v>0.15789473684210525</v>
      </c>
      <c r="G17" s="473">
        <f>IF(ISNUMBER((Datos!N17-Datos!X17)/Datos!X17),(Datos!N17-Datos!X17)/Datos!X17," - ")</f>
        <v>-0.1652542372881356</v>
      </c>
      <c r="H17" s="471">
        <f>IF(ISNUMBER(((NºAsuntos!G17/NºAsuntos!E17)-Datos!BD17)/Datos!BD17),((NºAsuntos!G17/NºAsuntos!E17)-Datos!BD17)/Datos!BD17," - ")</f>
        <v>-2.6994535519125572E-2</v>
      </c>
      <c r="I17" s="472">
        <f>IF(ISNUMBER(((NºAsuntos!I17/NºAsuntos!G17)-Datos!BE17)/Datos!BE17),((NºAsuntos!I17/NºAsuntos!G17)-Datos!BE17)/Datos!BE17," - ")</f>
        <v>0.53755039748525091</v>
      </c>
      <c r="J17" s="477">
        <f>IF(ISNUMBER((('Resol  Asuntos'!D17/NºAsuntos!G17)-Datos!BF17)/Datos!BF17),(('Resol  Asuntos'!D17/NºAsuntos!G17)-Datos!BF17)/Datos!BF17," - ")</f>
        <v>-5.7088976512943521E-2</v>
      </c>
      <c r="K17" s="478">
        <f>IF(ISNUMBER((((NºAsuntos!C17+NºAsuntos!E17)/NºAsuntos!G17)-Datos!BG17)/Datos!BG17),(((NºAsuntos!C17+NºAsuntos!E17)/NºAsuntos!G17)-Datos!BG17)/Datos!BG17," - ")</f>
        <v>0.18938094172447795</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0.14334763948497853</v>
      </c>
      <c r="C18" s="1001">
        <f>IF(ISNUMBER(
   IF(Criterios!B14="SI",(Datos!J18-Datos!T18)/Datos!T18,(Datos!J18+Datos!AD18-(Datos!T18+Datos!AL18))/(Datos!T18+Datos!AL18))
     ),IF(Criterios!B14="SI",(Datos!J18-Datos!T18)/Datos!T18,(Datos!J18+Datos!AD18-(Datos!T18+Datos!AL18))/(Datos!T18+Datos!AL18))," - ")</f>
        <v>0.13378684807256236</v>
      </c>
      <c r="D18" s="1001">
        <f>IF(ISNUMBER(
   IF(Criterios!B14="SI",(Datos!K18-Datos!U18)/Datos!U18,(Datos!K18+Datos!AE18-(Datos!U18+Datos!AM18))/(Datos!U18+Datos!AM18))
     ),IF(Criterios!B14="SI",(Datos!K18-Datos!U18)/Datos!U18,(Datos!K18+Datos!AE18-(Datos!U18+Datos!AM18))/(Datos!U18+Datos!AM18))," - ")</f>
        <v>0.15619834710743802</v>
      </c>
      <c r="E18" s="1001">
        <f>IF(ISNUMBER(
   IF(Criterios!B14="SI",(Datos!L18-Datos!V18)/Datos!V18,(Datos!L18+Datos!AF18-(Datos!V18+Datos!AN18))/(Datos!V18+Datos!AN18))
     ),IF(Criterios!B14="SI",(Datos!L18-Datos!V18)/Datos!V18,(Datos!L18+Datos!AF18-(Datos!V18+Datos!AN18))/(Datos!V18+Datos!AN18))," - ")</f>
        <v>0.10817748441510817</v>
      </c>
      <c r="F18" s="1002">
        <f>IF(ISNUMBER((Datos!M18-Datos!W18)/Datos!W18),(Datos!M18-Datos!W18)/Datos!W18," - ")</f>
        <v>9.6219931271477668E-2</v>
      </c>
      <c r="G18" s="1003">
        <f>IF(ISNUMBER((Datos!N18-Datos!X18)/Datos!X18),(Datos!N18-Datos!X18)/Datos!X18," - ")</f>
        <v>0.18707770270270271</v>
      </c>
      <c r="H18" s="1003">
        <f>IF(ISNUMBER(((NºAsuntos!G18/NºAsuntos!E18)-Datos!BD18)/Datos!BD18),((NºAsuntos!G18/NºAsuntos!E18)-Datos!BD18)/Datos!BD18," - ")</f>
        <v>1.9766942148760274E-2</v>
      </c>
      <c r="I18" s="1003">
        <f>IF(ISNUMBER(((NºAsuntos!I18/NºAsuntos!G18)-Datos!BE18)/Datos!BE18),((NºAsuntos!I18/NºAsuntos!G18)-Datos!BE18)/Datos!BE18," - ")</f>
        <v>-4.1533412335753465E-2</v>
      </c>
      <c r="J18" s="1003">
        <f>IF(ISNUMBER((('Resol  Asuntos'!D18/NºAsuntos!G18)-Datos!BF18)/Datos!BF18),(('Resol  Asuntos'!D18/NºAsuntos!G18)-Datos!BF18)/Datos!BF18," - ")</f>
        <v>-5.1875541931030722E-2</v>
      </c>
      <c r="K18" s="1003">
        <f>IF(ISNUMBER((((NºAsuntos!C18+NºAsuntos!E18)/NºAsuntos!G18)-Datos!BG18)/Datos!BG18),(((NºAsuntos!C18+NºAsuntos!E18)/NºAsuntos!G18)-Datos!BG18)/Datos!BG18," - ")</f>
        <v>-1.6325021126718173E-2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0.20411063736744287</v>
      </c>
      <c r="C19" s="948">
        <f>IF(ISNUMBER(
   IF(J_V="SI",(Datos!J19-Datos!T19)/Datos!T19,(Datos!J19+Datos!Z19-(Datos!T19+Datos!AH19))/(Datos!T19+Datos!AH19))
     ),IF(J_V="SI",(Datos!J19-Datos!T19)/Datos!T19,(Datos!J19+Datos!Z19-(Datos!T19+Datos!AH19))/(Datos!T19+Datos!AH19))," - ")</f>
        <v>9.2451805593266365E-2</v>
      </c>
      <c r="D19" s="948">
        <f>IF(ISNUMBER(
   IF(J_V="SI",(Datos!K19-Datos!U19)/Datos!U19,(Datos!K19+Datos!AA19-(Datos!U19+Datos!AI19))/(Datos!U19+Datos!AI19))
     ),IF(J_V="SI",(Datos!K19-Datos!U19)/Datos!U19,(Datos!K19+Datos!AA19-(Datos!U19+Datos!AI19))/(Datos!U19+Datos!AI19))," - ")</f>
        <v>0.10150709219858156</v>
      </c>
      <c r="E19" s="948">
        <f>IF(ISNUMBER(
   IF(J_V="SI",(Datos!L19-Datos!V19)/Datos!V19,(Datos!L19+Datos!AB19-(Datos!V19+Datos!AJ19))/(Datos!V19+Datos!AJ19))
     ),IF(J_V="SI",(Datos!L19-Datos!V19)/Datos!V19,(Datos!L19+Datos!AB19-(Datos!V19+Datos!AJ19))/(Datos!V19+Datos!AJ19))," - ")</f>
        <v>0.1488985051140834</v>
      </c>
      <c r="F19" s="949">
        <f>IF(ISNUMBER((Datos!M19-Datos!W19)/Datos!W19),(Datos!M19-Datos!W19)/Datos!W19," - ")</f>
        <v>-1.1737089201877934E-2</v>
      </c>
      <c r="G19" s="950">
        <f>IF(ISNUMBER((Datos!N19-Datos!X19)/Datos!X19),(Datos!N19-Datos!X19)/Datos!X19," - ")</f>
        <v>0.16207332490518331</v>
      </c>
      <c r="H19" s="951">
        <f>IF(ISNUMBER((Tasas!B19-Datos!BD19)/Datos!BD19),(Tasas!B19-Datos!BD19)/Datos!BD19," - ")</f>
        <v>8.2889575164349812E-3</v>
      </c>
      <c r="I19" s="952">
        <f>IF(ISNUMBER((Tasas!C19-Datos!BE19)/Datos!BE19),(Tasas!C19-Datos!BE19)/Datos!BE19," - ")</f>
        <v>4.3024155950652856E-2</v>
      </c>
      <c r="J19" s="953">
        <f>IF(ISNUMBER((Tasas!D19-Datos!BF19)/Datos!BF19),(Tasas!D19-Datos!BF19)/Datos!BF19," - ")</f>
        <v>-0.59296738899852786</v>
      </c>
      <c r="K19" s="953">
        <f>IF(ISNUMBER((Tasas!E19-Datos!BG19)/Datos!BG19),(Tasas!E19-Datos!BG19)/Datos!BG19," - ")</f>
        <v>4.7930311841374605E-2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UVQgSnIyNljZRO6RIxtGomHCy6MZBZJwH7UcJPeFtxqxiRvxjwaHWY8MZNUXq78aARersEwEU3SiMx/y1cARSQ==" saltValue="tIL3U1y09Lh4CgFrpRqS/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CATALUÑA</v>
      </c>
    </row>
    <row r="3" spans="1:7" ht="19.5">
      <c r="A3" s="452" t="s">
        <v>12</v>
      </c>
      <c r="B3" s="402" t="str">
        <f>Criterios!A10 &amp;"  "&amp;Criterios!B10</f>
        <v>Provincias  BARCELONA</v>
      </c>
    </row>
    <row r="4" spans="1:7" ht="11.25" customHeight="1" thickBot="1">
      <c r="B4" s="402" t="str">
        <f>Criterios!A11 &amp;"  "&amp;Criterios!B11</f>
        <v>Resumenes por Partidos Judiciales  BADALONA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0.91425787593374475</v>
      </c>
      <c r="C9" s="459">
        <f>IF(ISNUMBER(NºAsuntos!I9/NºAsuntos!G9),NºAsuntos!I9/NºAsuntos!G9," - ")</f>
        <v>2.7843694493783304</v>
      </c>
      <c r="D9" s="460">
        <f>IF(ISNUMBER('Resol  Asuntos'!D9/NºAsuntos!G9),'Resol  Asuntos'!D9/NºAsuntos!G9," - ")</f>
        <v>0.14174067495559503</v>
      </c>
      <c r="E9" s="461">
        <f>IF(ISNUMBER((NºAsuntos!C9+NºAsuntos!E9)/NºAsuntos!G9),(NºAsuntos!C9+NºAsuntos!E9)/NºAsuntos!G9," - ")</f>
        <v>3.7769094138543515</v>
      </c>
      <c r="G9" s="479"/>
    </row>
    <row r="10" spans="1:7">
      <c r="A10" s="413" t="str">
        <f>Datos!A10</f>
        <v>Jdos. Violencia contra la mujer</v>
      </c>
      <c r="B10" s="458">
        <f>IF(ISNUMBER(NºAsuntos!G10/NºAsuntos!E10),NºAsuntos!G10/NºAsuntos!E10," - ")</f>
        <v>0.59090909090909094</v>
      </c>
      <c r="C10" s="459">
        <f>IF(ISNUMBER(NºAsuntos!I10/NºAsuntos!G10),NºAsuntos!I10/NºAsuntos!G10," - ")</f>
        <v>4.1538461538461542</v>
      </c>
      <c r="D10" s="460">
        <f>IF(ISNUMBER('Resol  Asuntos'!D10/NºAsuntos!G10),'Resol  Asuntos'!D10/NºAsuntos!G10," - ")</f>
        <v>0.38461538461538464</v>
      </c>
      <c r="E10" s="461">
        <f>IF(ISNUMBER((NºAsuntos!C10+NºAsuntos!E10)/NºAsuntos!G10),(NºAsuntos!C10+NºAsuntos!E10)/NºAsuntos!G10," - ")</f>
        <v>5.1538461538461542</v>
      </c>
      <c r="G10" s="479"/>
    </row>
    <row r="11" spans="1:7">
      <c r="A11" s="413" t="str">
        <f>Datos!A11</f>
        <v xml:space="preserve">Jdos. Familia                                   </v>
      </c>
      <c r="B11" s="458">
        <f>IF(ISNUMBER(NºAsuntos!G11/NºAsuntos!E11),NºAsuntos!G11/NºAsuntos!E11," - ")</f>
        <v>0.9641255605381166</v>
      </c>
      <c r="C11" s="459">
        <f>IF(ISNUMBER(NºAsuntos!I11/NºAsuntos!G11),NºAsuntos!I11/NºAsuntos!G11," - ")</f>
        <v>1.786046511627907</v>
      </c>
      <c r="D11" s="460">
        <f>IF(ISNUMBER('Resol  Asuntos'!D11/NºAsuntos!G11),'Resol  Asuntos'!D11/NºAsuntos!G11," - ")</f>
        <v>0.27674418604651163</v>
      </c>
      <c r="E11" s="461">
        <f>IF(ISNUMBER((NºAsuntos!C11+NºAsuntos!E11)/NºAsuntos!G11),(NºAsuntos!C11+NºAsuntos!E11)/NºAsuntos!G11," - ")</f>
        <v>2.786046511627907</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0.91852269523541019</v>
      </c>
      <c r="C13" s="1005">
        <f>IF(ISNUMBER(NºAsuntos!I13/NºAsuntos!G13),NºAsuntos!I13/NºAsuntos!G13," - ")</f>
        <v>2.658072437077962</v>
      </c>
      <c r="D13" s="1006">
        <f>IF(ISNUMBER('Resol  Asuntos'!D13/NºAsuntos!G13),'Resol  Asuntos'!D13/NºAsuntos!G13," - ")</f>
        <v>0.1605279312461633</v>
      </c>
      <c r="E13" s="1007">
        <f>IF(ISNUMBER((NºAsuntos!C13+NºAsuntos!E13)/NºAsuntos!G13),(NºAsuntos!C13+NºAsuntos!E13)/NºAsuntos!G13," - ")</f>
        <v>3.6516267648864336</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0.94097726173197871</v>
      </c>
      <c r="C15" s="459">
        <f>IF(ISNUMBER(NºAsuntos!I15/NºAsuntos!G15),NºAsuntos!I15/NºAsuntos!G15," - ")</f>
        <v>0.70745501285347046</v>
      </c>
      <c r="D15" s="460">
        <f>IF(ISNUMBER('Resol  Asuntos'!D15/NºAsuntos!G15),'Resol  Asuntos'!D15/NºAsuntos!G15," - ")</f>
        <v>7.6349614395886889E-2</v>
      </c>
      <c r="E15" s="461">
        <f>IF(ISNUMBER((NºAsuntos!C15+NºAsuntos!E15)/NºAsuntos!G15),(NºAsuntos!C15+NºAsuntos!E15)/NºAsuntos!G15," - ")</f>
        <v>1.6940874035989717</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0.83879781420765032</v>
      </c>
      <c r="C17" s="459">
        <f>IF(ISNUMBER(NºAsuntos!I17/NºAsuntos!G17),NºAsuntos!I17/NºAsuntos!G17," - ")</f>
        <v>0.87947882736156346</v>
      </c>
      <c r="D17" s="460">
        <f>IF(ISNUMBER('Resol  Asuntos'!D17/NºAsuntos!G17),'Resol  Asuntos'!D17/NºAsuntos!G17," - ")</f>
        <v>7.1661237785016291E-2</v>
      </c>
      <c r="E17" s="461">
        <f>IF(ISNUMBER((NºAsuntos!C17+NºAsuntos!E17)/NºAsuntos!G17),(NºAsuntos!C17+NºAsuntos!E17)/NºAsuntos!G17," - ")</f>
        <v>1.8697068403908794</v>
      </c>
      <c r="G17" s="479"/>
    </row>
    <row r="18" spans="1:7" ht="14.25" thickTop="1" thickBot="1">
      <c r="A18" s="994" t="str">
        <f>Datos!A18</f>
        <v>TOTAL</v>
      </c>
      <c r="B18" s="1004">
        <f>IF(ISNUMBER(NºAsuntos!G18/NºAsuntos!E18),NºAsuntos!G18/NºAsuntos!E18," - ")</f>
        <v>0.93266666666666664</v>
      </c>
      <c r="C18" s="1005">
        <f>IF(ISNUMBER(NºAsuntos!I18/NºAsuntos!G18),NºAsuntos!I18/NºAsuntos!G18," - ")</f>
        <v>0.7200381224684298</v>
      </c>
      <c r="D18" s="1008">
        <f>IF(ISNUMBER('Resol  Asuntos'!D18/NºAsuntos!G18),'Resol  Asuntos'!D18/NºAsuntos!G18," - ")</f>
        <v>7.6006671431975217E-2</v>
      </c>
      <c r="E18" s="1007">
        <f>IF(ISNUMBER((NºAsuntos!C18+NºAsuntos!E18)/NºAsuntos!G18),(NºAsuntos!C18+NºAsuntos!E18)/NºAsuntos!G18," - ")</f>
        <v>1.7069335239456755</v>
      </c>
      <c r="G18" s="479"/>
    </row>
    <row r="19" spans="1:7" ht="15.75" customHeight="1" thickTop="1" thickBot="1">
      <c r="A19" s="939" t="str">
        <f>Datos!A19</f>
        <v>TOTAL JURISDICCIONES</v>
      </c>
      <c r="B19" s="954">
        <f>IF(ISNUMBER(NºAsuntos!G19/NºAsuntos!E19),NºAsuntos!G19/NºAsuntos!E19," - ")</f>
        <v>0.92643221076177462</v>
      </c>
      <c r="C19" s="955">
        <f>IF(ISNUMBER(NºAsuntos!I19/NºAsuntos!G19),NºAsuntos!I19/NºAsuntos!G19," - ")</f>
        <v>1.5670020120724346</v>
      </c>
      <c r="D19" s="956">
        <f>IF(ISNUMBER('Resol  Asuntos'!D19/NºAsuntos!G19),'Resol  Asuntos'!D19/NºAsuntos!G19," - ")</f>
        <v>0.11294433266264252</v>
      </c>
      <c r="E19" s="957">
        <f>IF(ISNUMBER((NºAsuntos!C19+NºAsuntos!E19)/NºAsuntos!G19),(NºAsuntos!C19+NºAsuntos!E19)/NºAsuntos!G19," - ")</f>
        <v>2.5568075117370892</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hMXa8A6MYtwTNwmEBxGbbpQwleP41NkLJOcjtbbz+k25ewT1JuEhySUq/kxhjiy8FgsEY2Rx4lFLw0OOX14OBg==" saltValue="0WzcaroSSOge0Xnz2BLfJ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CATALUÑA</v>
      </c>
      <c r="G2" s="339"/>
      <c r="H2" s="338"/>
      <c r="I2" s="338"/>
      <c r="J2" s="338"/>
      <c r="K2" s="338"/>
      <c r="L2" s="338" t="str">
        <f>Criterios!A10 &amp;"  "&amp;Criterios!B10</f>
        <v>Provincias  BARCELONA</v>
      </c>
      <c r="N2" s="338" t="str">
        <f>Criterios!A11 &amp;"  "&amp;Criterios!B11</f>
        <v>Resumenes por Partidos Judiciales  BADALONA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6</v>
      </c>
      <c r="B9" s="181" t="s">
        <v>249</v>
      </c>
      <c r="C9" s="164" t="str">
        <f>Datos!A9</f>
        <v xml:space="preserve">Jdos. 1ª Instancia   </v>
      </c>
      <c r="D9" s="164"/>
      <c r="E9" s="1201">
        <f>IF(ISNUMBER(Datos!AQ9),Datos!AQ9," - ")</f>
        <v>6</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656</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939</v>
      </c>
      <c r="Y9" s="343">
        <f>SUM(W9:X9)</f>
        <v>939</v>
      </c>
      <c r="Z9" s="344" t="str">
        <f>IF(ISNUMBER(Datos!CC9),Datos!CC9," - ")</f>
        <v xml:space="preserve"> - </v>
      </c>
      <c r="AA9" s="341" t="str">
        <f>IF(ISNUMBER(IF(J_V="SI",Datos!L9,Datos!L9+Datos!AB9)-IF(Monitorios="SI",Datos!CD9,0)),
                          IF(J_V="SI",Datos!L9,Datos!L9+Datos!AB9)-IF(Monitorios="SI",Datos!CD9,0),
                          " - ")</f>
        <v xml:space="preserve"> - </v>
      </c>
      <c r="AB9" s="343">
        <f>IF(ISNUMBER(Datos!R9),Datos!R9," - ")</f>
        <v>14380</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399</v>
      </c>
      <c r="AJ9" s="233" t="str">
        <f>IF(ISNUMBER(Datos!BW9),Datos!BW9," - ")</f>
        <v xml:space="preserve"> - </v>
      </c>
      <c r="AK9" s="232" t="str">
        <f>IF(ISNUMBER(Datos!BX9),Datos!BX9," - ")</f>
        <v xml:space="preserve"> - </v>
      </c>
      <c r="AL9" s="247">
        <f>IF(ISNUMBER(NºAsuntos!G9/NºAsuntos!E9),NºAsuntos!G9/NºAsuntos!E9," - ")</f>
        <v>0.91425787593374475</v>
      </c>
      <c r="AM9" s="264">
        <f>IF(ISNUMBER(((NºAsuntos!I9/NºAsuntos!G9)*11)/factor_trimestre),((NºAsuntos!I9/NºAsuntos!G9)*11)/factor_trimestre," - ")</f>
        <v>5.5687388987566608</v>
      </c>
      <c r="AN9" s="248">
        <f>IF(ISNUMBER('Resol  Asuntos'!D9/NºAsuntos!G9),'Resol  Asuntos'!D9/NºAsuntos!G9," - ")</f>
        <v>0.14174067495559503</v>
      </c>
      <c r="AO9" s="249">
        <f>IF(ISNUMBER((NºAsuntos!C9+NºAsuntos!E9)/NºAsuntos!G9),(NºAsuntos!C9+NºAsuntos!E9)/NºAsuntos!G9," - ")</f>
        <v>3.7769094138543515</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1</v>
      </c>
      <c r="F10" s="229">
        <f>IF(ISNUMBER(Datos!L10+Datos!K10-Datos!J10-K10),Datos!L10+Datos!K10-Datos!J10-K10," - ")</f>
        <v>45</v>
      </c>
      <c r="G10" s="342">
        <f>IF(ISNUMBER(Datos!I10),Datos!I10," - ")</f>
        <v>45</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3</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13</v>
      </c>
      <c r="X10" s="230">
        <f>IF(ISNUMBER(Datos!Q10),Datos!Q10," - ")</f>
        <v>0</v>
      </c>
      <c r="Y10" s="343">
        <f t="shared" ref="Y10:Y12" si="0">SUM(W10:X10)</f>
        <v>13</v>
      </c>
      <c r="Z10" s="344" t="str">
        <f>IF(ISNUMBER(Datos!CC10),Datos!CC10," - ")</f>
        <v xml:space="preserve"> - </v>
      </c>
      <c r="AA10" s="341">
        <f>IF(ISNUMBER(Datos!L10),Datos!L10,"-")</f>
        <v>54</v>
      </c>
      <c r="AB10" s="343">
        <f>IF(ISNUMBER(Datos!R10),Datos!R10," - ")</f>
        <v>107</v>
      </c>
      <c r="AC10" s="343">
        <f t="shared" ref="AC10:AC12" si="1">IF(ISNUMBER(AA10+AB10),AA10+AB10," - ")</f>
        <v>161</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5</v>
      </c>
      <c r="AJ10" s="235" t="str">
        <f>IF(ISNUMBER(Datos!BW10),Datos!BW10," - ")</f>
        <v xml:space="preserve"> - </v>
      </c>
      <c r="AK10" s="236" t="str">
        <f>IF(ISNUMBER(Datos!BX10),Datos!BX10," - ")</f>
        <v xml:space="preserve"> - </v>
      </c>
      <c r="AL10" s="247">
        <f>IF(ISNUMBER(NºAsuntos!G10/NºAsuntos!E10),NºAsuntos!G10/NºAsuntos!E10," - ")</f>
        <v>0.59090909090909094</v>
      </c>
      <c r="AM10" s="264">
        <f>IF(ISNUMBER(((NºAsuntos!I10/NºAsuntos!G10)*11)/factor_trimestre),((NºAsuntos!I10/NºAsuntos!G10)*11)/factor_trimestre," - ")</f>
        <v>8.3076923076923084</v>
      </c>
      <c r="AN10" s="248">
        <f>IF(ISNUMBER('Resol  Asuntos'!D10/NºAsuntos!G10),'Resol  Asuntos'!D10/NºAsuntos!G10," - ")</f>
        <v>0.38461538461538464</v>
      </c>
      <c r="AO10" s="249">
        <f>IF(ISNUMBER((NºAsuntos!C10+NºAsuntos!E10)/NºAsuntos!G10),(NºAsuntos!C10+NºAsuntos!E10)/NºAsuntos!G10," - ")</f>
        <v>5.1538461538461542</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2</v>
      </c>
      <c r="B11" s="279" t="s">
        <v>249</v>
      </c>
      <c r="C11" s="7" t="str">
        <f>Datos!A11</f>
        <v xml:space="preserve">Jdos. Familia                                   </v>
      </c>
      <c r="D11" s="7"/>
      <c r="E11" s="1201">
        <f>IF(ISNUMBER(Datos!AQ11),Datos!AQ11," - ")</f>
        <v>2</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37</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86</v>
      </c>
      <c r="Y11" s="343">
        <f t="shared" si="0"/>
        <v>86</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728</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119</v>
      </c>
      <c r="AJ11" s="235" t="str">
        <f>IF(ISNUMBER(Datos!BW11),Datos!BW11," - ")</f>
        <v xml:space="preserve"> - </v>
      </c>
      <c r="AK11" s="236" t="str">
        <f>IF(ISNUMBER(Datos!BX11),Datos!BX11," - ")</f>
        <v xml:space="preserve"> - </v>
      </c>
      <c r="AL11" s="247">
        <f>IF(ISNUMBER(NºAsuntos!G11/NºAsuntos!E11),NºAsuntos!G11/NºAsuntos!E11," - ")</f>
        <v>0.9641255605381166</v>
      </c>
      <c r="AM11" s="264">
        <f>IF(ISNUMBER(((NºAsuntos!I11/NºAsuntos!G11)*11)/factor_trimestre),((NºAsuntos!I11/NºAsuntos!G11)*11)/factor_trimestre," - ")</f>
        <v>3.5720930232558135</v>
      </c>
      <c r="AN11" s="248">
        <f>IF(ISNUMBER('Resol  Asuntos'!D11/NºAsuntos!G11),'Resol  Asuntos'!D11/NºAsuntos!G11," - ")</f>
        <v>0.27674418604651163</v>
      </c>
      <c r="AO11" s="249">
        <f>IF(ISNUMBER((NºAsuntos!C11+NºAsuntos!E11)/NºAsuntos!G11),(NºAsuntos!C11+NºAsuntos!E11)/NºAsuntos!G11," - ")</f>
        <v>2.786046511627907</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9</v>
      </c>
      <c r="F13" s="1011">
        <f t="shared" si="3"/>
        <v>45</v>
      </c>
      <c r="G13" s="1012">
        <f t="shared" si="3"/>
        <v>45</v>
      </c>
      <c r="H13" s="1011">
        <f t="shared" si="3"/>
        <v>0</v>
      </c>
      <c r="I13" s="1013">
        <f t="shared" si="3"/>
        <v>0</v>
      </c>
      <c r="J13" s="1013">
        <f t="shared" si="3"/>
        <v>0</v>
      </c>
      <c r="K13" s="1013">
        <f t="shared" si="3"/>
        <v>0</v>
      </c>
      <c r="L13" s="1013">
        <f t="shared" si="3"/>
        <v>696</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13</v>
      </c>
      <c r="X13" s="1013">
        <f t="shared" si="4"/>
        <v>1025</v>
      </c>
      <c r="Y13" s="1014">
        <f t="shared" si="4"/>
        <v>1038</v>
      </c>
      <c r="Z13" s="1014">
        <f t="shared" si="4"/>
        <v>0</v>
      </c>
      <c r="AA13" s="1014">
        <f t="shared" si="4"/>
        <v>54</v>
      </c>
      <c r="AB13" s="1014">
        <f t="shared" si="4"/>
        <v>15215</v>
      </c>
      <c r="AC13" s="1014">
        <f t="shared" si="4"/>
        <v>161</v>
      </c>
      <c r="AD13" s="1014">
        <f t="shared" si="4"/>
        <v>0</v>
      </c>
      <c r="AE13" s="1018">
        <f t="shared" si="4"/>
        <v>0</v>
      </c>
      <c r="AF13" s="1011">
        <f t="shared" si="4"/>
        <v>0</v>
      </c>
      <c r="AG13" s="1019">
        <f t="shared" si="4"/>
        <v>0</v>
      </c>
      <c r="AH13" s="1016">
        <f t="shared" si="4"/>
        <v>0</v>
      </c>
      <c r="AI13" s="1011">
        <f t="shared" si="4"/>
        <v>523</v>
      </c>
      <c r="AJ13" s="1013">
        <f t="shared" si="4"/>
        <v>0</v>
      </c>
      <c r="AK13" s="1016">
        <f>SUBTOTAL(9,AK9:AK12)</f>
        <v>0</v>
      </c>
      <c r="AL13" s="1020">
        <f>IF(ISNUMBER(NºAsuntos!G13/NºAsuntos!E13),NºAsuntos!G13/NºAsuntos!E13," - ")</f>
        <v>0.91852269523541019</v>
      </c>
      <c r="AM13" s="1020">
        <f>IF(ISNUMBER(((NºAsuntos!I13/NºAsuntos!G13)*11)/factor_trimestre),((NºAsuntos!I13/NºAsuntos!G13)*11)/factor_trimestre," - ")</f>
        <v>5.3161448741559241</v>
      </c>
      <c r="AN13" s="1021">
        <f>IF(ISNUMBER('Resol  Asuntos'!D13/NºAsuntos!G13),'Resol  Asuntos'!D13/NºAsuntos!G13," - ")</f>
        <v>0.1605279312461633</v>
      </c>
      <c r="AO13" s="1022">
        <f>IF(ISNUMBER((NºAsuntos!C13+NºAsuntos!E13)/NºAsuntos!G13),(NºAsuntos!C13+NºAsuntos!E13)/NºAsuntos!G13," - ")</f>
        <v>3.6516267648864336</v>
      </c>
      <c r="AP13" s="1023" t="str">
        <f t="shared" si="2"/>
        <v xml:space="preserve"> - </v>
      </c>
      <c r="AQ13" s="1023">
        <f>IF(ISNUMBER((H13-W13+K13)/(F13)),(H13-W13+K13)/(F13)," - ")</f>
        <v>-0.28888888888888886</v>
      </c>
      <c r="AR13" s="1024">
        <f>IF(ISNUMBER((Datos!P13-Datos!Q13)/(Datos!R13-Datos!P13+Datos!Q13)),(Datos!P13-Datos!Q13)/(Datos!R13-Datos!P13+Datos!Q13)," - ")</f>
        <v>-2.1165723108594957E-2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5</v>
      </c>
      <c r="B15" s="279" t="s">
        <v>400</v>
      </c>
      <c r="C15" s="164" t="str">
        <f>Datos!A15</f>
        <v xml:space="preserve">Jdos. Instrucción                               </v>
      </c>
      <c r="D15" s="164"/>
      <c r="E15" s="1201">
        <f>IF(ISNUMBER(Datos!AQ15),Datos!AQ15," - ")</f>
        <v>5</v>
      </c>
      <c r="F15" s="229">
        <f>IF(ISNUMBER(AA15+W15-Datos!J15-K15),AA15+W15-Datos!J15-K15," - ")</f>
        <v>2508</v>
      </c>
      <c r="G15" s="342">
        <f>IF(ISNUMBER(IF(D_I="SI",Datos!I15,Datos!I15+Datos!AC15)),IF(D_I="SI",Datos!I15,Datos!I15+Datos!AC15)," - ")</f>
        <v>2456</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132</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3890</v>
      </c>
      <c r="X15" s="230">
        <f>IF(ISNUMBER(Datos!Q15),Datos!Q15," - ")</f>
        <v>127</v>
      </c>
      <c r="Y15" s="343">
        <f>SUM(W15)</f>
        <v>3890</v>
      </c>
      <c r="Z15" s="344" t="str">
        <f>IF(ISNUMBER(Datos!CC15),Datos!CC15," - ")</f>
        <v xml:space="preserve"> - </v>
      </c>
      <c r="AA15" s="341">
        <f>IF(ISNUMBER(IF(D_I="SI",Datos!L15,Datos!L15+Datos!AF15)),IF(D_I="SI",Datos!L15,Datos!L15+Datos!AF15)," - ")</f>
        <v>2752</v>
      </c>
      <c r="AB15" s="343">
        <f>IF(ISNUMBER(Datos!R15),Datos!R15," - ")</f>
        <v>582</v>
      </c>
      <c r="AC15" s="343">
        <f t="shared" ref="AC15:AC17" si="6">IF(ISNUMBER(AA15+AB15),AA15+AB15," - ")</f>
        <v>3334</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297</v>
      </c>
      <c r="AJ15" s="235" t="str">
        <f>IF(ISNUMBER(Datos!BW15),Datos!BW15," - ")</f>
        <v xml:space="preserve"> - </v>
      </c>
      <c r="AK15" s="236" t="str">
        <f>IF(ISNUMBER(Datos!BX15),Datos!BX15," - ")</f>
        <v xml:space="preserve"> - </v>
      </c>
      <c r="AL15" s="247">
        <f>IF(ISNUMBER(NºAsuntos!G15/NºAsuntos!E15),NºAsuntos!G15/NºAsuntos!E15," - ")</f>
        <v>0.94097726173197871</v>
      </c>
      <c r="AM15" s="264">
        <f>IF(ISNUMBER(((NºAsuntos!I15/NºAsuntos!G15)*11)/factor_trimestre),((NºAsuntos!I15/NºAsuntos!G15)*11)/factor_trimestre," - ")</f>
        <v>1.4149100257069409</v>
      </c>
      <c r="AN15" s="248">
        <f>IF(ISNUMBER('Resol  Asuntos'!D15/NºAsuntos!G15),'Resol  Asuntos'!D15/NºAsuntos!G15," - ")</f>
        <v>7.6349614395886889E-2</v>
      </c>
      <c r="AO15" s="249">
        <f>IF(ISNUMBER((NºAsuntos!C15+NºAsuntos!E15)/NºAsuntos!G15),(NºAsuntos!C15+NºAsuntos!E15)/NºAsuntos!G15," - ")</f>
        <v>1.6940874035989717</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208</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307</v>
      </c>
      <c r="X17" s="230">
        <f>IF(ISNUMBER(Datos!Q17),Datos!Q17," - ")</f>
        <v>2</v>
      </c>
      <c r="Y17" s="343">
        <f t="shared" si="7"/>
        <v>309</v>
      </c>
      <c r="Z17" s="344" t="str">
        <f>IF(ISNUMBER(Datos!CC17),Datos!CC17," - ")</f>
        <v xml:space="preserve"> - </v>
      </c>
      <c r="AA17" s="341">
        <f>IF(ISNUMBER(Datos!L17),Datos!L17,"-")</f>
        <v>270</v>
      </c>
      <c r="AB17" s="343">
        <f>IF(ISNUMBER(Datos!R17),Datos!R17," - ")</f>
        <v>4</v>
      </c>
      <c r="AC17" s="343">
        <f t="shared" si="6"/>
        <v>274</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22</v>
      </c>
      <c r="AJ17" s="235" t="str">
        <f>IF(ISNUMBER(Datos!BW17),Datos!BW17," - ")</f>
        <v xml:space="preserve"> - </v>
      </c>
      <c r="AK17" s="236" t="str">
        <f>IF(ISNUMBER(Datos!BX17),Datos!BX17," - ")</f>
        <v xml:space="preserve"> - </v>
      </c>
      <c r="AL17" s="247">
        <f>IF(ISNUMBER(NºAsuntos!G17/NºAsuntos!E17),NºAsuntos!G17/NºAsuntos!E17," - ")</f>
        <v>0.83879781420765032</v>
      </c>
      <c r="AM17" s="264">
        <f>IF(ISNUMBER(((NºAsuntos!I17/NºAsuntos!G17)*11)/factor_trimestre),((NºAsuntos!I17/NºAsuntos!G17)*11)/factor_trimestre," - ")</f>
        <v>1.7589576547231269</v>
      </c>
      <c r="AN17" s="248">
        <f>IF(ISNUMBER('Resol  Asuntos'!D17/NºAsuntos!G17),'Resol  Asuntos'!D17/NºAsuntos!G17," - ")</f>
        <v>7.1661237785016291E-2</v>
      </c>
      <c r="AO17" s="249">
        <f>IF(ISNUMBER((NºAsuntos!C17+NºAsuntos!E17)/NºAsuntos!G17),(NºAsuntos!C17+NºAsuntos!E17)/NºAsuntos!G17," - ")</f>
        <v>1.8697068403908794</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6</v>
      </c>
      <c r="F18" s="1011">
        <f>SUBTOTAL(9,F14:F17)</f>
        <v>2508</v>
      </c>
      <c r="G18" s="1012">
        <f>SUBTOTAL(9,G15:G17)</f>
        <v>2664</v>
      </c>
      <c r="H18" s="1011">
        <f t="shared" ref="H18:O18" si="10">SUBTOTAL(9,H14:H17)</f>
        <v>0</v>
      </c>
      <c r="I18" s="1013">
        <f t="shared" si="10"/>
        <v>0</v>
      </c>
      <c r="J18" s="1013">
        <f t="shared" si="10"/>
        <v>0</v>
      </c>
      <c r="K18" s="1013">
        <f t="shared" si="10"/>
        <v>0</v>
      </c>
      <c r="L18" s="1013">
        <f t="shared" si="10"/>
        <v>132</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4197</v>
      </c>
      <c r="X18" s="1013">
        <f t="shared" si="11"/>
        <v>129</v>
      </c>
      <c r="Y18" s="1014">
        <f t="shared" si="11"/>
        <v>4199</v>
      </c>
      <c r="Z18" s="1014">
        <f t="shared" si="11"/>
        <v>0</v>
      </c>
      <c r="AA18" s="1014">
        <f t="shared" si="11"/>
        <v>3022</v>
      </c>
      <c r="AB18" s="1014">
        <f t="shared" si="11"/>
        <v>586</v>
      </c>
      <c r="AC18" s="1014">
        <f t="shared" si="11"/>
        <v>3608</v>
      </c>
      <c r="AD18" s="1014">
        <f t="shared" si="11"/>
        <v>0</v>
      </c>
      <c r="AE18" s="1018">
        <f t="shared" si="11"/>
        <v>0</v>
      </c>
      <c r="AF18" s="1011">
        <f t="shared" si="11"/>
        <v>0</v>
      </c>
      <c r="AG18" s="1019">
        <f t="shared" si="11"/>
        <v>0</v>
      </c>
      <c r="AH18" s="1016">
        <f t="shared" si="11"/>
        <v>0</v>
      </c>
      <c r="AI18" s="1011">
        <f t="shared" si="11"/>
        <v>319</v>
      </c>
      <c r="AJ18" s="1013">
        <f t="shared" si="11"/>
        <v>0</v>
      </c>
      <c r="AK18" s="1016">
        <f t="shared" si="11"/>
        <v>0</v>
      </c>
      <c r="AL18" s="1020">
        <f>IF(ISNUMBER(NºAsuntos!G18/NºAsuntos!E18),NºAsuntos!G18/NºAsuntos!E18," - ")</f>
        <v>0.93266666666666664</v>
      </c>
      <c r="AM18" s="1020">
        <f>IF(ISNUMBER(((NºAsuntos!I18/NºAsuntos!G18)*11)/factor_trimestre),((NºAsuntos!I18/NºAsuntos!G18)*11)/factor_trimestre," - ")</f>
        <v>1.4400762449368596</v>
      </c>
      <c r="AN18" s="1021">
        <f>IF(ISNUMBER('Resol  Asuntos'!D18/NºAsuntos!G18),'Resol  Asuntos'!D18/NºAsuntos!G18," - ")</f>
        <v>7.6006671431975217E-2</v>
      </c>
      <c r="AO18" s="1022">
        <f>IF(ISNUMBER((NºAsuntos!C18+NºAsuntos!E18)/NºAsuntos!G18),(NºAsuntos!C18+NºAsuntos!E18)/NºAsuntos!G18," - ")</f>
        <v>1.7069335239456755</v>
      </c>
      <c r="AP18" s="1023" t="str">
        <f t="shared" si="2"/>
        <v xml:space="preserve"> - </v>
      </c>
      <c r="AQ18" s="1023">
        <f>IF(ISNUMBER((H18-W18+K18)/(F18)),(H18-W18+K18)/(F18)," - ")</f>
        <v>-1.6734449760765551</v>
      </c>
      <c r="AR18" s="1024">
        <f>IF(ISNUMBER((Datos!P18-Datos!Q18)/(Datos!R18-Datos!P18+Datos!Q18)),(Datos!P18-Datos!Q18)/(Datos!R18-Datos!P18+Datos!Q18)," - ")</f>
        <v>5.1457975986277877E-3</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15</v>
      </c>
      <c r="F19" s="966">
        <f t="shared" si="13"/>
        <v>2553</v>
      </c>
      <c r="G19" s="967">
        <f t="shared" si="13"/>
        <v>2709</v>
      </c>
      <c r="H19" s="966">
        <f t="shared" si="13"/>
        <v>0</v>
      </c>
      <c r="I19" s="968">
        <f t="shared" si="13"/>
        <v>0</v>
      </c>
      <c r="J19" s="968">
        <f t="shared" si="13"/>
        <v>0</v>
      </c>
      <c r="K19" s="1027">
        <f t="shared" si="13"/>
        <v>0</v>
      </c>
      <c r="L19" s="968">
        <f t="shared" si="13"/>
        <v>828</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4210</v>
      </c>
      <c r="X19" s="967">
        <f t="shared" si="14"/>
        <v>1154</v>
      </c>
      <c r="Y19" s="974">
        <f t="shared" si="14"/>
        <v>5237</v>
      </c>
      <c r="Z19" s="974">
        <f t="shared" si="14"/>
        <v>0</v>
      </c>
      <c r="AA19" s="974">
        <f t="shared" si="14"/>
        <v>3076</v>
      </c>
      <c r="AB19" s="974">
        <f t="shared" si="14"/>
        <v>15801</v>
      </c>
      <c r="AC19" s="974">
        <f t="shared" si="14"/>
        <v>3769</v>
      </c>
      <c r="AD19" s="974">
        <f t="shared" si="14"/>
        <v>0</v>
      </c>
      <c r="AE19" s="976">
        <f t="shared" si="14"/>
        <v>0</v>
      </c>
      <c r="AF19" s="977">
        <f t="shared" si="14"/>
        <v>0</v>
      </c>
      <c r="AG19" s="978">
        <f t="shared" si="14"/>
        <v>0</v>
      </c>
      <c r="AH19" s="976">
        <f t="shared" si="14"/>
        <v>0</v>
      </c>
      <c r="AI19" s="966">
        <f t="shared" si="14"/>
        <v>842</v>
      </c>
      <c r="AJ19" s="966">
        <f t="shared" si="14"/>
        <v>0</v>
      </c>
      <c r="AK19" s="976">
        <f t="shared" si="14"/>
        <v>0</v>
      </c>
      <c r="AL19" s="1030">
        <f>IF(ISNUMBER(NºAsuntos!G19/NºAsuntos!E19),NºAsuntos!G19/NºAsuntos!E19," - ")</f>
        <v>0.92643221076177462</v>
      </c>
      <c r="AM19" s="1031">
        <f>IF(ISNUMBER(((NºAsuntos!I19/NºAsuntos!G19)*11)/factor_trimestre),((NºAsuntos!I19/NºAsuntos!G19)*11)/factor_trimestre," - ")</f>
        <v>3.1340040241448692</v>
      </c>
      <c r="AN19" s="1031">
        <f>IF(ISNUMBER('Resol  Asuntos'!D19/NºAsuntos!G19),'Resol  Asuntos'!D19/NºAsuntos!G19," - ")</f>
        <v>0.11294433266264252</v>
      </c>
      <c r="AO19" s="1032">
        <f>IF(ISNUMBER((NºAsuntos!C19+NºAsuntos!E19)/NºAsuntos!G19),(NºAsuntos!C19+NºAsuntos!E19)/NºAsuntos!G19," - ")</f>
        <v>2.5568075117370892</v>
      </c>
      <c r="AP19" s="1033" t="str">
        <f t="shared" si="2"/>
        <v xml:space="preserve"> - </v>
      </c>
      <c r="AQ19" s="1034">
        <f>IF(OR(ISNUMBER(FIND("01",Criterios!A8,1)),ISNUMBER(FIND("02",Criterios!A8,1)),ISNUMBER(FIND("03",Criterios!A8,1)),ISNUMBER(FIND("04",Criterios!A8,1))),(I19-W19+K19)/(F19-K19),(H19-W19+K19)/(F19-K19))</f>
        <v>-1.6490403446925186</v>
      </c>
      <c r="AR19" s="1035">
        <f>IF(ISNUMBER((Datos!P19-Datos!Q19)/(Datos!R19-Datos!P19+Datos!Q19)),(Datos!P19-Datos!Q19)/(Datos!R19-Datos!P19+Datos!Q19)," - ")</f>
        <v>-2.0214547032926147E-2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1083.5999999999999</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3.2403703492039302</v>
      </c>
      <c r="F21" s="256">
        <f>IF(ISNUMBER(STDEV(F8:F18)),STDEV(F8:F18),"-")</f>
        <v>1422.0137130140483</v>
      </c>
      <c r="G21" s="257">
        <f>IF(ISNUMBER(STDEV(G8:G18)),STDEV(G8:G18),"-")</f>
        <v>1351.4067855386845</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2159.9893518256058</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196.7433668029303</v>
      </c>
      <c r="AJ21" s="256">
        <f t="shared" si="18"/>
        <v>0</v>
      </c>
      <c r="AK21" s="258">
        <f t="shared" si="18"/>
        <v>0</v>
      </c>
      <c r="AL21" s="253">
        <f t="shared" si="18"/>
        <v>0.12973562738477509</v>
      </c>
      <c r="AM21" s="254">
        <f t="shared" si="18"/>
        <v>2.6183807594419841</v>
      </c>
      <c r="AN21" s="254">
        <f t="shared" si="18"/>
        <v>0.11945519033080997</v>
      </c>
      <c r="AO21" s="255">
        <f t="shared" si="18"/>
        <v>1.3133560788730265</v>
      </c>
      <c r="AP21" s="295" t="str">
        <f t="shared" si="18"/>
        <v>-</v>
      </c>
      <c r="AQ21" s="296">
        <f t="shared" si="18"/>
        <v>0.97902899818351152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tb5n+R8TVyFquWExmxACtFQO08geOG4cVnLsxX+YOOLioBRxVLCMFZxhrRzQS5uHvtb9vMANNA3DQ4F0kX5+dQ==" saltValue="Qbewn0HQmkfV+1bq6vhiK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CATALUÑA</v>
      </c>
      <c r="E2" s="267"/>
    </row>
    <row r="3" spans="2:20" ht="17.25" customHeight="1">
      <c r="C3" s="271"/>
      <c r="D3" s="266" t="str">
        <f>Criterios!A10 &amp;"  "&amp;Criterios!B10</f>
        <v>Provincias  BARCELONA</v>
      </c>
      <c r="E3" s="267"/>
    </row>
    <row r="4" spans="2:20" ht="17.25" customHeight="1" thickBot="1">
      <c r="D4" s="266" t="str">
        <f>Criterios!A11 &amp;"  "&amp;Criterios!B11</f>
        <v>Resumenes por Partidos Judiciales  BADALONA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-0.12882096069868995</v>
      </c>
      <c r="I9" s="359">
        <f>IF(ISNUMBER((Tasas!C9-Datos!BE9)/Datos!BE9),(Tasas!C9-Datos!BE9)/Datos!BE9," - ")</f>
        <v>0.1493810792523049</v>
      </c>
      <c r="J9" s="358">
        <f>IF(ISNUMBER((Tasas!D9-Datos!BF9)/Datos!BF9),(Tasas!D9-Datos!BF9)/Datos!BF9," - ")</f>
        <v>-0.72446486872682503</v>
      </c>
      <c r="K9" s="360">
        <f>IF(ISNUMBER((Tasas!E9-Datos!BG9)/Datos!BG9),(Tasas!E9-Datos!BG9)/Datos!BG9," - ")</f>
        <v>0.14742598992793468</v>
      </c>
      <c r="M9" t="e">
        <f>IF(Monitorios="SI",Datos!CE9,0)</f>
        <v>#REF!</v>
      </c>
      <c r="N9" t="e">
        <f>IF(Monitorios="SI",Datos!CF9,0)</f>
        <v>#REF!</v>
      </c>
      <c r="O9" t="e">
        <f>IF(Monitorios="SI",Datos!CG9,0)</f>
        <v>#REF!</v>
      </c>
      <c r="P9" t="e">
        <f>IF(Monitorios="SI",Datos!CH9,0)</f>
        <v>#REF!</v>
      </c>
      <c r="Q9">
        <f>IF(J_V="SI",0,Datos!AG9)</f>
        <v>159</v>
      </c>
      <c r="R9">
        <f>IF(J_V="SI",0,Datos!AH9)</f>
        <v>161</v>
      </c>
      <c r="S9">
        <f>IF(J_V="SI",0,Datos!AI9)</f>
        <v>151</v>
      </c>
      <c r="T9">
        <f>IF(J_V="SI",0,Datos!AJ9)</f>
        <v>169</v>
      </c>
    </row>
    <row r="10" spans="2:20" ht="14.25">
      <c r="B10" s="279" t="s">
        <v>249</v>
      </c>
      <c r="C10" s="7" t="str">
        <f>Datos!A10</f>
        <v>Jdos. Violencia contra la mujer</v>
      </c>
      <c r="D10" s="361">
        <f>IF(ISNUMBER((Datos!I10-Datos!S10)/Datos!S10),(Datos!I10-Datos!S10)/Datos!S10," - ")</f>
        <v>1.25</v>
      </c>
      <c r="E10" s="357">
        <f>IF(ISNUMBER((Datos!J10-Datos!T10)/Datos!T10),(Datos!J10-Datos!T10)/Datos!T10," - ")</f>
        <v>0.46666666666666667</v>
      </c>
      <c r="F10" s="357">
        <f>IF(ISNUMBER((Datos!K10-Datos!U10)/Datos!U10),(Datos!K10-Datos!U10)/Datos!U10," - ")</f>
        <v>0.625</v>
      </c>
      <c r="G10" s="358">
        <f>IF(ISNUMBER((Datos!L10-Datos!V10)/Datos!V10),(Datos!L10-Datos!V10)/Datos!V10," - ")</f>
        <v>1</v>
      </c>
      <c r="H10" s="234" t="str">
        <f>IF(ISNUMBER((Datos!M10-Datos!W10)/Datos!W10),(Datos!M10-Datos!W10)/Datos!W10," - ")</f>
        <v xml:space="preserve"> - </v>
      </c>
      <c r="I10" s="359">
        <f>IF(ISNUMBER((Tasas!C10-Datos!BE10)/Datos!BE10),(Tasas!C10-Datos!BE10)/Datos!BE10," - ")</f>
        <v>0.23076923076923087</v>
      </c>
      <c r="J10" s="358" t="str">
        <f>IF(ISNUMBER((Tasas!D10-Datos!BF10)/Datos!BF10),(Tasas!D10-Datos!BF10)/Datos!BF10," - ")</f>
        <v xml:space="preserve"> - </v>
      </c>
      <c r="K10" s="360">
        <f>IF(ISNUMBER((Tasas!E10-Datos!BG10)/Datos!BG10),(Tasas!E10-Datos!BG10)/Datos!BG10," - ")</f>
        <v>0.17802197802197811</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0.1553398058252427</v>
      </c>
      <c r="I11" s="359">
        <f>IF(ISNUMBER((Tasas!C11-Datos!BE11)/Datos!BE11),(Tasas!C11-Datos!BE11)/Datos!BE11," - ")</f>
        <v>-8.3814757724013145E-2</v>
      </c>
      <c r="J11" s="358">
        <f>IF(ISNUMBER((Tasas!D11-Datos!BF11)/Datos!BF11),(Tasas!D11-Datos!BF11)/Datos!BF11," - ")</f>
        <v>-0.38424418604651162</v>
      </c>
      <c r="K11" s="360">
        <f>IF(ISNUMBER((Tasas!E11-Datos!BG11)/Datos!BG11),(Tasas!E11-Datos!BG11)/Datos!BG11," - ")</f>
        <v>-5.3594887271436215E-2</v>
      </c>
      <c r="M11" t="e">
        <f>IF(Monitorios="SI",Datos!CE11,0)</f>
        <v>#REF!</v>
      </c>
      <c r="N11" t="e">
        <f>IF(Monitorios="SI",Datos!CF11,0)</f>
        <v>#REF!</v>
      </c>
      <c r="O11" t="e">
        <f>IF(Monitorios="SI",Datos!CG11,0)</f>
        <v>#REF!</v>
      </c>
      <c r="P11" t="e">
        <f>IF(Monitorios="SI",Datos!CH11,0)</f>
        <v>#REF!</v>
      </c>
      <c r="Q11">
        <f>IF(J_V="SI",0,Datos!AG11)</f>
        <v>99</v>
      </c>
      <c r="R11">
        <f>IF(J_V="SI",0,Datos!AH11)</f>
        <v>67</v>
      </c>
      <c r="S11">
        <f>IF(J_V="SI",0,Datos!AI11)</f>
        <v>76</v>
      </c>
      <c r="T11">
        <f>IF(J_V="SI",0,Datos!AJ11)</f>
        <v>40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-6.7736185383244205E-2</v>
      </c>
      <c r="I13" s="366">
        <f>IF(ISNUMBER((Tasas!C13-Datos!BE13)/Datos!BE13),(Tasas!C13-Datos!BE13)/Datos!BE13," - ")</f>
        <v>0.12095569245405799</v>
      </c>
      <c r="J13" s="364">
        <f>IF(ISNUMBER((Tasas!D13-Datos!BF13)/Datos!BF13),(Tasas!D13-Datos!BF13)/Datos!BF13," - ")</f>
        <v>-0.68258560286675463</v>
      </c>
      <c r="K13" s="367">
        <f>IF(ISNUMBER((Tasas!E13-Datos!BG13)/Datos!BG13),(Tasas!E13-Datos!BG13)/Datos!BG13," - ")</f>
        <v>0.12187240926313185</v>
      </c>
      <c r="M13" t="e">
        <f>IF(Monitorios="SI",Datos!CE13,0)</f>
        <v>#REF!</v>
      </c>
      <c r="N13" t="e">
        <f>IF(Monitorios="SI",Datos!CF13,0)</f>
        <v>#REF!</v>
      </c>
      <c r="O13" t="e">
        <f>IF(Monitorios="SI",Datos!CG13,0)</f>
        <v>#REF!</v>
      </c>
      <c r="P13" t="e">
        <f>IF(Monitorios="SI",Datos!CH13,0)</f>
        <v>#REF!</v>
      </c>
      <c r="Q13">
        <f>IF(J_V="SI",0,Datos!AG13)</f>
        <v>258</v>
      </c>
      <c r="R13">
        <f>IF(J_V="SI",0,Datos!AH13)</f>
        <v>228</v>
      </c>
      <c r="S13">
        <f>IF(J_V="SI",0,Datos!AI13)</f>
        <v>227</v>
      </c>
      <c r="T13">
        <f>IF(J_V="SI",0,Datos!AJ13)</f>
        <v>209</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0.10282891782667265</v>
      </c>
      <c r="E15" s="357">
        <f>IF(ISNUMBER(
   IF(D_I="SI",(Datos!J15-Datos!T15)/Datos!T15,(Datos!J15+Datos!AD15-(Datos!T15+Datos!AL15))/(Datos!T15+Datos!AL15))
     ),IF(D_I="SI",(Datos!J15-Datos!T15)/Datos!T15,(Datos!J15+Datos!AD15-(Datos!T15+Datos!AL15))/(Datos!T15+Datos!AL15))," - ")</f>
        <v>0.12367491166077739</v>
      </c>
      <c r="F15" s="357">
        <f>IF(ISNUMBER(
   IF(D_I="SI",(Datos!K15-Datos!U15)/Datos!U15,(Datos!K15+Datos!AE15-(Datos!U15+Datos!AM15))/(Datos!U15+Datos!AM15))
     ),IF(D_I="SI",(Datos!K15-Datos!U15)/Datos!U15,(Datos!K15+Datos!AE15-(Datos!U15+Datos!AM15))/(Datos!U15+Datos!AM15))," - ")</f>
        <v>0.15088757396449703</v>
      </c>
      <c r="G15" s="358">
        <f>IF(ISNUMBER(
   IF(D_I="SI",(Datos!L15-Datos!V15)/Datos!V15,(Datos!L15+Datos!AF15-(Datos!V15+Datos!AN15))/(Datos!V15+Datos!AN15))
     ),IF(D_I="SI",(Datos!L15-Datos!V15)/Datos!V15,(Datos!L15+Datos!AF15-(Datos!V15+Datos!AN15))/(Datos!V15+Datos!AN15))," - ")</f>
        <v>6.5015479876160992E-2</v>
      </c>
      <c r="H15" s="234">
        <f>IF(ISNUMBER((Datos!M15-Datos!W15)/Datos!W15),(Datos!M15-Datos!W15)/Datos!W15," - ")</f>
        <v>9.1911764705882359E-2</v>
      </c>
      <c r="I15" s="359">
        <f>IF(ISNUMBER((Tasas!C15-Datos!BE15)/Datos!BE15),(Tasas!C15-Datos!BE15)/Datos!BE15," - ")</f>
        <v>-7.4613798976497586E-2</v>
      </c>
      <c r="J15" s="358">
        <f>IF(ISNUMBER((Tasas!D15-Datos!BF15)/Datos!BF15),(Tasas!D15-Datos!BF15)/Datos!BF15," - ")</f>
        <v>-5.1243762286405571E-2</v>
      </c>
      <c r="K15" s="360">
        <f>IF(ISNUMBER((Tasas!E15-Datos!BG15)/Datos!BG15),(Tasas!E15-Datos!BG15)/Datos!BG15," - ")</f>
        <v>-3.0474868918976564E-2</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1.0194174757281553</v>
      </c>
      <c r="E17" s="357">
        <f>IF(ISNUMBER(
   IF(D_I="SI",(Datos!J17-Datos!T17)/Datos!T17,(Datos!J17+Datos!AD17-(Datos!T17+Datos!AL17))/(Datos!T17+Datos!AL17))
     ),IF(D_I="SI",(Datos!J17-Datos!T17)/Datos!T17,(Datos!J17+Datos!AD17-(Datos!T17+Datos!AL17))/(Datos!T17+Datos!AL17))," - ")</f>
        <v>0.2620689655172414</v>
      </c>
      <c r="F17" s="357">
        <f>IF(ISNUMBER(
   IF(D_I="SI",(Datos!K17-Datos!U17)/Datos!U17,(Datos!K17+Datos!AE17-(Datos!U17+Datos!AM17))/(Datos!U17+Datos!AM17))
     ),IF(D_I="SI",(Datos!K17-Datos!U17)/Datos!U17,(Datos!K17+Datos!AE17-(Datos!U17+Datos!AM17))/(Datos!U17+Datos!AM17))," - ")</f>
        <v>0.22800000000000001</v>
      </c>
      <c r="G17" s="358">
        <f>IF(ISNUMBER(
   IF(D_I="SI",(Datos!L17-Datos!V17)/Datos!V17,(Datos!L17+Datos!AF17-(Datos!V17+Datos!AN17))/(Datos!V17+Datos!AN17))
     ),IF(D_I="SI",(Datos!L17-Datos!V17)/Datos!V17,(Datos!L17+Datos!AF17-(Datos!V17+Datos!AN17))/(Datos!V17+Datos!AN17))," - ")</f>
        <v>0.88811188811188813</v>
      </c>
      <c r="H17" s="234">
        <f>IF(ISNUMBER((Datos!M17-Datos!W17)/Datos!W17),(Datos!M17-Datos!W17)/Datos!W17," - ")</f>
        <v>0.15789473684210525</v>
      </c>
      <c r="I17" s="359">
        <f>IF(ISNUMBER((Tasas!C17-Datos!BE17)/Datos!BE17),(Tasas!C17-Datos!BE17)/Datos!BE17," - ")</f>
        <v>0.53755039748525091</v>
      </c>
      <c r="J17" s="358">
        <f>IF(ISNUMBER((Tasas!D17-Datos!BF17)/Datos!BF17),(Tasas!D17-Datos!BF17)/Datos!BF17," - ")</f>
        <v>-5.7088976512943521E-2</v>
      </c>
      <c r="K17" s="360">
        <f>IF(ISNUMBER((Tasas!E17-Datos!BG17)/Datos!BG17),(Tasas!E17-Datos!BG17)/Datos!BG17," - ")</f>
        <v>0.18938094172447795</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0.14334763948497853</v>
      </c>
      <c r="E18" s="363">
        <f>IF(ISNUMBER(
   IF(D_I="SI",(Datos!J18-Datos!T18)/Datos!T18,(Datos!J18+Datos!AD18-(Datos!T18+Datos!AL18))/(Datos!T18+Datos!AL18))
     ),IF(D_I="SI",(Datos!J18-Datos!T18)/Datos!T18,(Datos!J18+Datos!AD18-(Datos!T18+Datos!AL18))/(Datos!T18+Datos!AL18))," - ")</f>
        <v>0.13378684807256236</v>
      </c>
      <c r="F18" s="363">
        <f>IF(ISNUMBER(
   IF(D_I="SI",(Datos!K18-Datos!U18)/Datos!U18,(Datos!K18+Datos!AE18-(Datos!U18+Datos!AM18))/(Datos!U18+Datos!AM18))
     ),IF(D_I="SI",(Datos!K18-Datos!U18)/Datos!U18,(Datos!K18+Datos!AE18-(Datos!U18+Datos!AM18))/(Datos!U18+Datos!AM18))," - ")</f>
        <v>0.15619834710743802</v>
      </c>
      <c r="G18" s="364">
        <f>IF(ISNUMBER(
   IF(D_I="SI",(Datos!L18-Datos!V18)/Datos!V18,(Datos!L18+Datos!AF18-(Datos!V18+Datos!AN18))/(Datos!V18+Datos!AN18))
     ),IF(D_I="SI",(Datos!L18-Datos!V18)/Datos!V18,(Datos!L18+Datos!AF18-(Datos!V18+Datos!AN18))/(Datos!V18+Datos!AN18))," - ")</f>
        <v>0.10817748441510817</v>
      </c>
      <c r="H18" s="365">
        <f>IF(ISNUMBER((Datos!M18-Datos!W18)/Datos!W18),(Datos!M18-Datos!W18)/Datos!W18," - ")</f>
        <v>9.6219931271477668E-2</v>
      </c>
      <c r="I18" s="366">
        <f>IF(ISNUMBER((Tasas!C18-Datos!BE18)/Datos!BE18),(Tasas!C18-Datos!BE18)/Datos!BE18," - ")</f>
        <v>-4.1533412335753465E-2</v>
      </c>
      <c r="J18" s="364">
        <f>IF(ISNUMBER((Tasas!D18-Datos!BF18)/Datos!BF18),(Tasas!D18-Datos!BF18)/Datos!BF18," - ")</f>
        <v>-5.1875541931030722E-2</v>
      </c>
      <c r="K18" s="367">
        <f>IF(ISNUMBER((Tasas!E18-Datos!BG18)/Datos!BG18),(Tasas!E18-Datos!BG18)/Datos!BG18," - ")</f>
        <v>-1.6325021126718173E-2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0.20411063736744287</v>
      </c>
      <c r="E19" s="372">
        <f>IF(ISNUMBER(
   IF(J_V="SI",(Datos!J19-Datos!T19)/Datos!T19,(Datos!J19+Datos!Z19-(Datos!T19+Datos!AH19))/(Datos!T19+Datos!AH19))
     ),IF(J_V="SI",(Datos!J19-Datos!T19)/Datos!T19,(Datos!J19+Datos!Z19-(Datos!T19+Datos!AH19))/(Datos!T19+Datos!AH19))," - ")</f>
        <v>9.2451805593266365E-2</v>
      </c>
      <c r="F19" s="372">
        <f>IF(ISNUMBER(
   IF(J_V="SI",(Datos!K19-Datos!U19)/Datos!U19,(Datos!K19+Datos!AA19-(Datos!U19+Datos!AI19))/(Datos!U19+Datos!AI19))
     ),IF(J_V="SI",(Datos!K19-Datos!U19)/Datos!U19,(Datos!K19+Datos!AA19-(Datos!U19+Datos!AI19))/(Datos!U19+Datos!AI19))," - ")</f>
        <v>0.10150709219858156</v>
      </c>
      <c r="G19" s="373">
        <f>IF(ISNUMBER(
   IF(J_V="SI",(Datos!L19-Datos!V19)/Datos!V19,(Datos!L19+Datos!AB19-(Datos!V19+Datos!AJ19))/(Datos!V19+Datos!AJ19))
     ),IF(J_V="SI",(Datos!L19-Datos!V19)/Datos!V19,(Datos!L19+Datos!AB19-(Datos!V19+Datos!AJ19))/(Datos!V19+Datos!AJ19))," - ")</f>
        <v>0.1488985051140834</v>
      </c>
      <c r="H19" s="374">
        <f>IF(ISNUMBER((Datos!M19-Datos!W19)/Datos!W19),(Datos!M19-Datos!W19)/Datos!W19," - ")</f>
        <v>-1.1737089201877934E-2</v>
      </c>
      <c r="I19" s="371">
        <f>IF(ISNUMBER((Tasas!C19-Datos!BE19)/Datos!BE19),(Tasas!C19-Datos!BE19)/Datos!BE19," - ")</f>
        <v>4.3024155950652856E-2</v>
      </c>
      <c r="J19" s="372">
        <f>IF(ISNUMBER((Tasas!D19-Datos!BF19)/Datos!BF19),(Tasas!D19-Datos!BF19)/Datos!BF19," - ")</f>
        <v>-0.59296738899852786</v>
      </c>
      <c r="K19" s="373">
        <f>IF(ISNUMBER((Tasas!E19-Datos!BG19)/Datos!BG19),(Tasas!E19-Datos!BG19)/Datos!BG19," - ")</f>
        <v>4.7930311841374605E-2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0.59182795561461221</v>
      </c>
      <c r="E21" s="282">
        <f t="shared" si="1"/>
        <v>0.15969345739097707</v>
      </c>
      <c r="F21" s="282">
        <f t="shared" si="1"/>
        <v>0.22607089415244455</v>
      </c>
      <c r="G21" s="283">
        <f t="shared" si="1"/>
        <v>0.49746949083281183</v>
      </c>
      <c r="H21" s="289">
        <f t="shared" si="1"/>
        <v>0.12038730644793816</v>
      </c>
      <c r="I21" s="281">
        <f t="shared" si="1"/>
        <v>0.22097892211282452</v>
      </c>
      <c r="J21" s="282">
        <f t="shared" si="1"/>
        <v>0.32008277230199744</v>
      </c>
      <c r="K21" s="283">
        <f t="shared" si="1"/>
        <v>0.10576913892007284</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z7v6HFccSEn9evNIexbldTx8txAtiK9A5ILteH70foBbV9RPRzVdwMbPExGxGEqCo2w02EOhyWeEAt7B3Urstg==" saltValue="MNY/E9tBIOKrStWKCiIWP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2023-11-29T08:25:16Z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